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D:\حسابات 2024\حساب ورشة الرخام هاني الحجار\"/>
    </mc:Choice>
  </mc:AlternateContent>
  <xr:revisionPtr revIDLastSave="0" documentId="13_ncr:1_{DAEC51F2-AFA7-42D7-834A-DA5A7598F367}" xr6:coauthVersionLast="47" xr6:coauthVersionMax="47" xr10:uidLastSave="{00000000-0000-0000-0000-000000000000}"/>
  <bookViews>
    <workbookView xWindow="-120" yWindow="-120" windowWidth="20730" windowHeight="11160" firstSheet="4" activeTab="4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externalReferences>
    <externalReference r:id="rId6"/>
    <externalReference r:id="rId7"/>
    <externalReference r:id="rId8"/>
  </externalReferences>
  <definedNames>
    <definedName name="_xlnm._FilterDatabase" localSheetId="0" hidden="1">Sheet1!$A$2:$I$71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5" l="1"/>
  <c r="G5" i="5" s="1"/>
  <c r="E6" i="5"/>
  <c r="G6" i="5" s="1"/>
  <c r="E7" i="5"/>
  <c r="G7" i="5" s="1"/>
  <c r="E8" i="5"/>
  <c r="G8" i="5" s="1"/>
  <c r="E9" i="5"/>
  <c r="G9" i="5" s="1"/>
  <c r="E10" i="5"/>
  <c r="G10" i="5" s="1"/>
  <c r="E17" i="5"/>
  <c r="G17" i="5" s="1"/>
  <c r="E27" i="5"/>
  <c r="G27" i="5" s="1"/>
  <c r="E28" i="5"/>
  <c r="G28" i="5" s="1"/>
  <c r="E29" i="5"/>
  <c r="G29" i="5" s="1"/>
  <c r="E4" i="5"/>
  <c r="G4" i="5" s="1"/>
  <c r="J8" i="5" l="1"/>
  <c r="J7" i="5"/>
  <c r="J9" i="5" s="1"/>
  <c r="J4" i="5"/>
  <c r="B28" i="5"/>
  <c r="B27" i="5"/>
  <c r="C26" i="5"/>
  <c r="E26" i="5" s="1"/>
  <c r="G26" i="5" s="1"/>
  <c r="B26" i="5"/>
  <c r="C25" i="5"/>
  <c r="E25" i="5" s="1"/>
  <c r="G25" i="5" s="1"/>
  <c r="B25" i="5"/>
  <c r="C24" i="5"/>
  <c r="E24" i="5" s="1"/>
  <c r="G24" i="5" s="1"/>
  <c r="B24" i="5"/>
  <c r="C23" i="5"/>
  <c r="E23" i="5" s="1"/>
  <c r="G23" i="5" s="1"/>
  <c r="B23" i="5"/>
  <c r="C22" i="5"/>
  <c r="E22" i="5" s="1"/>
  <c r="G22" i="5" s="1"/>
  <c r="B22" i="5"/>
  <c r="C21" i="5"/>
  <c r="E21" i="5" s="1"/>
  <c r="G21" i="5" s="1"/>
  <c r="B21" i="5"/>
  <c r="C20" i="5"/>
  <c r="E20" i="5" s="1"/>
  <c r="G20" i="5" s="1"/>
  <c r="B20" i="5"/>
  <c r="C19" i="5"/>
  <c r="E19" i="5" s="1"/>
  <c r="G19" i="5" s="1"/>
  <c r="B19" i="5"/>
  <c r="C18" i="5"/>
  <c r="E18" i="5" s="1"/>
  <c r="G18" i="5" s="1"/>
  <c r="B18" i="5"/>
  <c r="B17" i="5"/>
  <c r="C16" i="5"/>
  <c r="E16" i="5" s="1"/>
  <c r="G16" i="5" s="1"/>
  <c r="B16" i="5"/>
  <c r="C15" i="5"/>
  <c r="E15" i="5" s="1"/>
  <c r="G15" i="5" s="1"/>
  <c r="B15" i="5"/>
  <c r="C14" i="5"/>
  <c r="E14" i="5" s="1"/>
  <c r="G14" i="5" s="1"/>
  <c r="B14" i="5"/>
  <c r="C13" i="5"/>
  <c r="E13" i="5" s="1"/>
  <c r="G13" i="5" s="1"/>
  <c r="B13" i="5"/>
  <c r="C12" i="5"/>
  <c r="E12" i="5" s="1"/>
  <c r="G12" i="5" s="1"/>
  <c r="B12" i="5"/>
  <c r="C11" i="5"/>
  <c r="E11" i="5" s="1"/>
  <c r="G11" i="5" s="1"/>
  <c r="B11" i="5"/>
  <c r="B10" i="5"/>
  <c r="B9" i="5"/>
  <c r="B8" i="5"/>
  <c r="B7" i="5"/>
  <c r="B6" i="5"/>
  <c r="B5" i="5"/>
  <c r="G30" i="5"/>
  <c r="I4" i="5" s="1"/>
  <c r="K4" i="5" s="1"/>
  <c r="B4" i="5"/>
  <c r="B3" i="5"/>
  <c r="E28" i="4"/>
  <c r="K30" i="4"/>
  <c r="K31" i="4"/>
  <c r="K29" i="4"/>
  <c r="K32" i="4" s="1"/>
  <c r="B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C18" i="4" l="1"/>
  <c r="C19" i="4"/>
  <c r="E19" i="4" l="1"/>
  <c r="E18" i="4"/>
  <c r="C23" i="4"/>
  <c r="E23" i="4" l="1"/>
  <c r="C17" i="4"/>
  <c r="C15" i="4"/>
  <c r="C14" i="4"/>
  <c r="E16" i="4" l="1"/>
  <c r="E14" i="4"/>
  <c r="E15" i="4"/>
  <c r="E17" i="4"/>
  <c r="C11" i="4" l="1"/>
  <c r="C12" i="4"/>
  <c r="E12" i="4" l="1"/>
  <c r="E11" i="4"/>
  <c r="E4" i="4" l="1"/>
  <c r="C6" i="4"/>
  <c r="C8" i="4"/>
  <c r="C10" i="4"/>
  <c r="C13" i="4"/>
  <c r="C20" i="4"/>
  <c r="C21" i="4"/>
  <c r="C22" i="4"/>
  <c r="C24" i="4"/>
  <c r="C25" i="4"/>
  <c r="E27" i="4" l="1"/>
  <c r="E26" i="4"/>
  <c r="E25" i="4"/>
  <c r="E24" i="4"/>
  <c r="E22" i="4"/>
  <c r="E21" i="4"/>
  <c r="E20" i="4"/>
  <c r="E13" i="4"/>
  <c r="E10" i="4"/>
  <c r="E9" i="4"/>
  <c r="E8" i="4"/>
  <c r="E7" i="4"/>
  <c r="E6" i="4"/>
  <c r="E5" i="4"/>
  <c r="E3" i="4" l="1"/>
  <c r="E29" i="4" s="1"/>
  <c r="E31" i="4" l="1"/>
  <c r="F71" i="1" l="1"/>
  <c r="D57" i="1"/>
  <c r="E64" i="1"/>
  <c r="E62" i="1"/>
  <c r="E60" i="1"/>
  <c r="E59" i="1"/>
  <c r="D58" i="1"/>
  <c r="E36" i="3"/>
  <c r="D54" i="1"/>
  <c r="D53" i="1"/>
  <c r="E35" i="3"/>
  <c r="G36" i="3"/>
  <c r="N28" i="3"/>
  <c r="N29" i="3"/>
  <c r="L5" i="3"/>
  <c r="N5" i="3" s="1"/>
  <c r="L6" i="3"/>
  <c r="N6" i="3" s="1"/>
  <c r="L7" i="3"/>
  <c r="N7" i="3" s="1"/>
  <c r="L8" i="3"/>
  <c r="N8" i="3" s="1"/>
  <c r="L9" i="3"/>
  <c r="N9" i="3" s="1"/>
  <c r="L10" i="3"/>
  <c r="N10" i="3" s="1"/>
  <c r="L11" i="3"/>
  <c r="N11" i="3" s="1"/>
  <c r="L12" i="3"/>
  <c r="N12" i="3" s="1"/>
  <c r="L13" i="3"/>
  <c r="N13" i="3" s="1"/>
  <c r="L14" i="3"/>
  <c r="N14" i="3" s="1"/>
  <c r="L15" i="3"/>
  <c r="N15" i="3" s="1"/>
  <c r="L16" i="3"/>
  <c r="N16" i="3" s="1"/>
  <c r="L17" i="3"/>
  <c r="N17" i="3" s="1"/>
  <c r="L18" i="3"/>
  <c r="N18" i="3" s="1"/>
  <c r="L19" i="3"/>
  <c r="N19" i="3" s="1"/>
  <c r="L20" i="3"/>
  <c r="N20" i="3" s="1"/>
  <c r="L21" i="3"/>
  <c r="N21" i="3" s="1"/>
  <c r="L22" i="3"/>
  <c r="N22" i="3" s="1"/>
  <c r="L23" i="3"/>
  <c r="N23" i="3" s="1"/>
  <c r="L24" i="3"/>
  <c r="N24" i="3" s="1"/>
  <c r="L25" i="3"/>
  <c r="N25" i="3" s="1"/>
  <c r="L26" i="3"/>
  <c r="N26" i="3" s="1"/>
  <c r="L27" i="3"/>
  <c r="N27" i="3" s="1"/>
  <c r="G5" i="3"/>
  <c r="I5" i="3" s="1"/>
  <c r="G6" i="3"/>
  <c r="I6" i="3" s="1"/>
  <c r="G7" i="3"/>
  <c r="I7" i="3" s="1"/>
  <c r="G8" i="3"/>
  <c r="I8" i="3" s="1"/>
  <c r="G9" i="3"/>
  <c r="I9" i="3" s="1"/>
  <c r="G10" i="3"/>
  <c r="I10" i="3" s="1"/>
  <c r="G11" i="3"/>
  <c r="I11" i="3" s="1"/>
  <c r="G12" i="3"/>
  <c r="I12" i="3" s="1"/>
  <c r="G13" i="3"/>
  <c r="I13" i="3" s="1"/>
  <c r="G14" i="3"/>
  <c r="I14" i="3" s="1"/>
  <c r="G15" i="3"/>
  <c r="I15" i="3" s="1"/>
  <c r="G16" i="3"/>
  <c r="I16" i="3" s="1"/>
  <c r="G17" i="3"/>
  <c r="I17" i="3" s="1"/>
  <c r="G18" i="3"/>
  <c r="I18" i="3" s="1"/>
  <c r="G19" i="3"/>
  <c r="I19" i="3" s="1"/>
  <c r="G20" i="3"/>
  <c r="I20" i="3" s="1"/>
  <c r="G21" i="3"/>
  <c r="I21" i="3" s="1"/>
  <c r="G22" i="3"/>
  <c r="I22" i="3" s="1"/>
  <c r="G23" i="3"/>
  <c r="I23" i="3" s="1"/>
  <c r="G24" i="3"/>
  <c r="I24" i="3" s="1"/>
  <c r="G25" i="3"/>
  <c r="I25" i="3" s="1"/>
  <c r="G26" i="3"/>
  <c r="I26" i="3" s="1"/>
  <c r="G27" i="3"/>
  <c r="I27" i="3" s="1"/>
  <c r="G28" i="3"/>
  <c r="I28" i="3" s="1"/>
  <c r="G29" i="3"/>
  <c r="I29" i="3" s="1"/>
  <c r="A4" i="3"/>
  <c r="F4" i="3" s="1"/>
  <c r="K4" i="3" s="1"/>
  <c r="A5" i="3"/>
  <c r="F5" i="3" s="1"/>
  <c r="K5" i="3" s="1"/>
  <c r="B5" i="3"/>
  <c r="D5" i="3" s="1"/>
  <c r="A6" i="3"/>
  <c r="F6" i="3" s="1"/>
  <c r="K6" i="3" s="1"/>
  <c r="B6" i="3"/>
  <c r="D6" i="3" s="1"/>
  <c r="A7" i="3"/>
  <c r="F7" i="3" s="1"/>
  <c r="K7" i="3" s="1"/>
  <c r="B7" i="3"/>
  <c r="D7" i="3" s="1"/>
  <c r="A8" i="3"/>
  <c r="F8" i="3" s="1"/>
  <c r="K8" i="3" s="1"/>
  <c r="B8" i="3"/>
  <c r="D8" i="3" s="1"/>
  <c r="A9" i="3"/>
  <c r="F9" i="3" s="1"/>
  <c r="K9" i="3" s="1"/>
  <c r="B9" i="3"/>
  <c r="D9" i="3" s="1"/>
  <c r="A10" i="3"/>
  <c r="F10" i="3" s="1"/>
  <c r="K10" i="3" s="1"/>
  <c r="B10" i="3"/>
  <c r="D10" i="3" s="1"/>
  <c r="A11" i="3"/>
  <c r="F11" i="3" s="1"/>
  <c r="K11" i="3" s="1"/>
  <c r="B11" i="3"/>
  <c r="D11" i="3" s="1"/>
  <c r="A12" i="3"/>
  <c r="F12" i="3" s="1"/>
  <c r="K12" i="3" s="1"/>
  <c r="B12" i="3"/>
  <c r="D12" i="3" s="1"/>
  <c r="A13" i="3"/>
  <c r="F13" i="3" s="1"/>
  <c r="K13" i="3" s="1"/>
  <c r="B13" i="3"/>
  <c r="D13" i="3" s="1"/>
  <c r="A14" i="3"/>
  <c r="F14" i="3" s="1"/>
  <c r="K14" i="3" s="1"/>
  <c r="B14" i="3"/>
  <c r="D14" i="3" s="1"/>
  <c r="A15" i="3"/>
  <c r="F15" i="3" s="1"/>
  <c r="K15" i="3" s="1"/>
  <c r="B15" i="3"/>
  <c r="D15" i="3" s="1"/>
  <c r="A16" i="3"/>
  <c r="F16" i="3" s="1"/>
  <c r="K16" i="3" s="1"/>
  <c r="B16" i="3"/>
  <c r="D16" i="3" s="1"/>
  <c r="A17" i="3"/>
  <c r="F17" i="3" s="1"/>
  <c r="K17" i="3" s="1"/>
  <c r="B17" i="3"/>
  <c r="D17" i="3" s="1"/>
  <c r="A18" i="3"/>
  <c r="F18" i="3" s="1"/>
  <c r="K18" i="3" s="1"/>
  <c r="B18" i="3"/>
  <c r="D18" i="3" s="1"/>
  <c r="A19" i="3"/>
  <c r="F19" i="3" s="1"/>
  <c r="K19" i="3" s="1"/>
  <c r="B19" i="3"/>
  <c r="D19" i="3" s="1"/>
  <c r="A20" i="3"/>
  <c r="F20" i="3" s="1"/>
  <c r="K20" i="3" s="1"/>
  <c r="B20" i="3"/>
  <c r="D20" i="3" s="1"/>
  <c r="A21" i="3"/>
  <c r="F21" i="3" s="1"/>
  <c r="K21" i="3" s="1"/>
  <c r="B21" i="3"/>
  <c r="D21" i="3" s="1"/>
  <c r="A22" i="3"/>
  <c r="F22" i="3" s="1"/>
  <c r="K22" i="3" s="1"/>
  <c r="B22" i="3"/>
  <c r="D22" i="3" s="1"/>
  <c r="A23" i="3"/>
  <c r="F23" i="3" s="1"/>
  <c r="K23" i="3" s="1"/>
  <c r="B23" i="3"/>
  <c r="D23" i="3" s="1"/>
  <c r="A24" i="3"/>
  <c r="F24" i="3" s="1"/>
  <c r="K24" i="3" s="1"/>
  <c r="B24" i="3"/>
  <c r="D24" i="3" s="1"/>
  <c r="A25" i="3"/>
  <c r="F25" i="3" s="1"/>
  <c r="K25" i="3" s="1"/>
  <c r="B25" i="3"/>
  <c r="D25" i="3" s="1"/>
  <c r="A26" i="3"/>
  <c r="F26" i="3" s="1"/>
  <c r="K26" i="3" s="1"/>
  <c r="B26" i="3"/>
  <c r="D26" i="3" s="1"/>
  <c r="A27" i="3"/>
  <c r="F27" i="3" s="1"/>
  <c r="K27" i="3" s="1"/>
  <c r="B27" i="3"/>
  <c r="D27" i="3" s="1"/>
  <c r="A28" i="3"/>
  <c r="F28" i="3" s="1"/>
  <c r="K28" i="3" s="1"/>
  <c r="B28" i="3"/>
  <c r="D28" i="3" s="1"/>
  <c r="A29" i="3"/>
  <c r="F29" i="3" s="1"/>
  <c r="K29" i="3" s="1"/>
  <c r="B29" i="3"/>
  <c r="D29" i="3" s="1"/>
  <c r="E51" i="1"/>
  <c r="E49" i="1"/>
  <c r="E48" i="1"/>
  <c r="E47" i="1"/>
  <c r="E46" i="1"/>
  <c r="E45" i="1"/>
  <c r="E44" i="1"/>
  <c r="E43" i="1"/>
  <c r="E40" i="1"/>
  <c r="E41" i="1"/>
  <c r="N30" i="3" l="1"/>
  <c r="D30" i="3"/>
  <c r="I30" i="3"/>
  <c r="D39" i="1"/>
  <c r="D38" i="1"/>
  <c r="D37" i="1"/>
  <c r="E27" i="1" l="1"/>
  <c r="E26" i="1"/>
  <c r="E25" i="1"/>
  <c r="E23" i="1"/>
  <c r="A3" i="2" l="1"/>
  <c r="A2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D19" i="2" l="1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2" i="2" s="1"/>
  <c r="B12" i="2"/>
  <c r="B11" i="2"/>
  <c r="B10" i="2"/>
  <c r="B9" i="2"/>
  <c r="B8" i="2"/>
  <c r="B7" i="2"/>
  <c r="B6" i="2"/>
  <c r="B5" i="2"/>
  <c r="B4" i="2"/>
  <c r="D19" i="1" l="1"/>
  <c r="E18" i="1"/>
  <c r="E17" i="1"/>
  <c r="E16" i="1"/>
  <c r="E15" i="1"/>
  <c r="E14" i="1"/>
  <c r="E13" i="1"/>
  <c r="D11" i="1"/>
  <c r="D10" i="1"/>
  <c r="D9" i="1"/>
  <c r="E7" i="1"/>
  <c r="E6" i="1"/>
  <c r="E4" i="1"/>
  <c r="E3" i="1"/>
  <c r="F3" i="1" l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</calcChain>
</file>

<file path=xl/sharedStrings.xml><?xml version="1.0" encoding="utf-8"?>
<sst xmlns="http://schemas.openxmlformats.org/spreadsheetml/2006/main" count="258" uniqueCount="145">
  <si>
    <t xml:space="preserve">كشف رقم </t>
  </si>
  <si>
    <t>التاريخ</t>
  </si>
  <si>
    <t xml:space="preserve">بيـــــــــــــــــــــــــــــــــــــــــــــــــــــــــــــــــــــــان </t>
  </si>
  <si>
    <t>الرصيد</t>
  </si>
  <si>
    <t>البند</t>
  </si>
  <si>
    <t>ملاحظات</t>
  </si>
  <si>
    <t>كشف رقم 2</t>
  </si>
  <si>
    <t>مبيعات ( 11 م نيو حلايب × 350 ج )</t>
  </si>
  <si>
    <t xml:space="preserve">مبيعات </t>
  </si>
  <si>
    <t>من المخزن</t>
  </si>
  <si>
    <t>مبيعات ( 24م - 2 سم منيا فص × 150 ج )</t>
  </si>
  <si>
    <t>مبيعات ( 140سم سليفيا × 250 ج )</t>
  </si>
  <si>
    <t>تقطيع خارجي 70م × 35ج</t>
  </si>
  <si>
    <t>تقطيع خارجي 30م × 50ج</t>
  </si>
  <si>
    <t>يوميات من السبت 7-10-2023 الى 13-10-2023</t>
  </si>
  <si>
    <t>شحن عداد الكهرباء</t>
  </si>
  <si>
    <t>كشف رقم 3</t>
  </si>
  <si>
    <t>مبيعات منيا 4سم 21 متر ×85ج</t>
  </si>
  <si>
    <t xml:space="preserve">7متر 4سم و4متر 2سم </t>
  </si>
  <si>
    <t>مبيعات منيا 2سم 8متر ×130ج</t>
  </si>
  <si>
    <t>مبيعات نيو حلايب 2سم 22متر ×310ج</t>
  </si>
  <si>
    <t>مبيعات رويال 2.20 م×380ج</t>
  </si>
  <si>
    <t>مبيعات سلفيا 2سم 36سم ×250ج</t>
  </si>
  <si>
    <t>مبيعات نيو حلايب 2سم 3متر ×480ج</t>
  </si>
  <si>
    <t>يوميات من السبت 14-10-2023 الى 19-10-2023</t>
  </si>
  <si>
    <t>مصاريف غداء للعمال خلال الاسبوع</t>
  </si>
  <si>
    <t>مصاريف نقل وطريق</t>
  </si>
  <si>
    <t xml:space="preserve">2نقلة </t>
  </si>
  <si>
    <t xml:space="preserve">الايرادات </t>
  </si>
  <si>
    <t xml:space="preserve">المصروفات </t>
  </si>
  <si>
    <t>الوصف</t>
  </si>
  <si>
    <t>104.69متر</t>
  </si>
  <si>
    <t>سعر المتر +النالون =103ج</t>
  </si>
  <si>
    <t>سعر المتر +النالون =185ج</t>
  </si>
  <si>
    <t>سعر المتر +النالون =166ج</t>
  </si>
  <si>
    <t>سعر المتر +النالون =101ج</t>
  </si>
  <si>
    <t>سعر المتر +النالون =313ج</t>
  </si>
  <si>
    <t>سعر المتر +النالون =138ج</t>
  </si>
  <si>
    <t>سعر المتر +النالون =3224ج</t>
  </si>
  <si>
    <t>سعر المتر +النالون =348ج</t>
  </si>
  <si>
    <t>سعر المتر +النالون =378ج</t>
  </si>
  <si>
    <t>سعر المتر +النالون =385ج</t>
  </si>
  <si>
    <t>سعر المتر 225</t>
  </si>
  <si>
    <t>سعر المتر 220</t>
  </si>
  <si>
    <t>سعر المتر 230</t>
  </si>
  <si>
    <t>سعر المتر 290</t>
  </si>
  <si>
    <t>سعر المتر 240</t>
  </si>
  <si>
    <t>سعر المتر 135</t>
  </si>
  <si>
    <t>سعر المتر 85</t>
  </si>
  <si>
    <t xml:space="preserve">اجمالي الاسعار </t>
  </si>
  <si>
    <t>مشتريات رخام</t>
  </si>
  <si>
    <t xml:space="preserve">فاتورة كهرباء </t>
  </si>
  <si>
    <t xml:space="preserve">من ح/ الالات مدفوع من هاني الحجار </t>
  </si>
  <si>
    <t xml:space="preserve">الاجمالي </t>
  </si>
  <si>
    <t xml:space="preserve">عدد الامتار </t>
  </si>
  <si>
    <t>كشف رقم 4</t>
  </si>
  <si>
    <t xml:space="preserve">مبيعات توريد تدرج 4 سم بدون تركيب </t>
  </si>
  <si>
    <t xml:space="preserve">مبيعات توريد تدرج 2 سم بدون تركيب </t>
  </si>
  <si>
    <t>26متر مربع</t>
  </si>
  <si>
    <t xml:space="preserve">مبيعات توريد وتركيب منيا 4سم </t>
  </si>
  <si>
    <t xml:space="preserve">16متر مربع </t>
  </si>
  <si>
    <t xml:space="preserve">مبيعات توريد وتركيب منيا 2سم </t>
  </si>
  <si>
    <t xml:space="preserve">10متر مربع </t>
  </si>
  <si>
    <t xml:space="preserve">مبيعات توريد نيو حلايب 2سم </t>
  </si>
  <si>
    <t xml:space="preserve">عدد للورشة </t>
  </si>
  <si>
    <t>23متر مربع</t>
  </si>
  <si>
    <t xml:space="preserve">عمال نظافة وجرار </t>
  </si>
  <si>
    <t xml:space="preserve">اكرمية صيانة الالات </t>
  </si>
  <si>
    <t>مصنعيات العمال خلال الاسبوع</t>
  </si>
  <si>
    <t>مصنعية تركيب الدرج</t>
  </si>
  <si>
    <t xml:space="preserve">مصاريف غداء العمال خلال الاسبوع </t>
  </si>
  <si>
    <t xml:space="preserve">نالون سيارة وطرق </t>
  </si>
  <si>
    <t>فاتورة رخام</t>
  </si>
  <si>
    <t>كشف رقم 5</t>
  </si>
  <si>
    <t>مشتريات رخام منيا 4سم (79.80×145ج)</t>
  </si>
  <si>
    <t xml:space="preserve">متر مربع </t>
  </si>
  <si>
    <t>مشتريات رخام منيا 2سم (153×85ج)</t>
  </si>
  <si>
    <t>8متر مربع</t>
  </si>
  <si>
    <t xml:space="preserve">مبيعات درج منيا توريد(23×80ج)درج 4سم </t>
  </si>
  <si>
    <t xml:space="preserve">متر طولي </t>
  </si>
  <si>
    <t>مبيعات نيو حلايب (3.70×300ج)</t>
  </si>
  <si>
    <t>مبيعات منيا 4سم (3.07سم ×225ج)</t>
  </si>
  <si>
    <t>مبيعات منيا 2سم(556×130ج)</t>
  </si>
  <si>
    <t xml:space="preserve">تقطيع 12متر جرانيت اسود </t>
  </si>
  <si>
    <t>مبيعات توريد منيا 4سم (31م.ط×85ج)</t>
  </si>
  <si>
    <t>مبيعات منيا 2سم (2.60×135)</t>
  </si>
  <si>
    <t>تقطيع</t>
  </si>
  <si>
    <t>مبيعات منيا 4سم م.ط(170س×85ج)</t>
  </si>
  <si>
    <t>مبيعات منيا 4سم م.م(.49س×220ج)</t>
  </si>
  <si>
    <t>مبيعات منيا 2سم(1.80سم×135ج)</t>
  </si>
  <si>
    <t>يوميات العمال + الغداء خلال الاسبوع</t>
  </si>
  <si>
    <t>مبيعات درج منيا توريد وتركيب (13م.ط×150ج)</t>
  </si>
  <si>
    <t xml:space="preserve">مصنعية تركيب الدرج + الغداء </t>
  </si>
  <si>
    <t xml:space="preserve">كمية رصيد بالمخزن </t>
  </si>
  <si>
    <t xml:space="preserve">السعر علي ارضة </t>
  </si>
  <si>
    <t xml:space="preserve">الكمية واردة  </t>
  </si>
  <si>
    <t>اجمالي المبالغ</t>
  </si>
  <si>
    <t xml:space="preserve">تقطيع خارجي </t>
  </si>
  <si>
    <t xml:space="preserve">اجمالي المصروفات </t>
  </si>
  <si>
    <t xml:space="preserve">اجمالي الايرادات </t>
  </si>
  <si>
    <t xml:space="preserve">مشتريات رخام </t>
  </si>
  <si>
    <t xml:space="preserve">مبيعات رخام </t>
  </si>
  <si>
    <t xml:space="preserve">مصاريف النقل والعمال والغداء وعدد و شحن كهرباء </t>
  </si>
  <si>
    <t xml:space="preserve">رصيد بالمخزن </t>
  </si>
  <si>
    <t xml:space="preserve">كمية منصرفة </t>
  </si>
  <si>
    <t xml:space="preserve">سعر بيع </t>
  </si>
  <si>
    <t>كشف رقم 6</t>
  </si>
  <si>
    <t xml:space="preserve">مشتريات سلفيا 4سم (1.70×3م) 14 طولة </t>
  </si>
  <si>
    <t xml:space="preserve">عدد للورشة مشحمة </t>
  </si>
  <si>
    <t>ربح شهر 10-2023</t>
  </si>
  <si>
    <t xml:space="preserve">اجمالي المبالغ </t>
  </si>
  <si>
    <t>تقرير عن شهر 10-2023</t>
  </si>
  <si>
    <t xml:space="preserve">مشتريات منيا 4سم (1.90*3م)12طولة </t>
  </si>
  <si>
    <t xml:space="preserve">مبيعات 4سم منيا 115م مربع </t>
  </si>
  <si>
    <t xml:space="preserve">مبيعات 2سم منيا 65م مربع </t>
  </si>
  <si>
    <t xml:space="preserve">تركيب خارجي </t>
  </si>
  <si>
    <t>مبيعات سلفيا 2سم 10م ×180ج</t>
  </si>
  <si>
    <t xml:space="preserve">مصنعية تركيب + تريسيكل </t>
  </si>
  <si>
    <t>تقطيع خارجي 65م ×30ج</t>
  </si>
  <si>
    <t xml:space="preserve">مبيعات جلاكسي </t>
  </si>
  <si>
    <t xml:space="preserve">مشتريات جلاكسي </t>
  </si>
  <si>
    <t xml:space="preserve">كمية بالمخزن </t>
  </si>
  <si>
    <t xml:space="preserve">سعر علي ارضة </t>
  </si>
  <si>
    <t xml:space="preserve">المبالغ </t>
  </si>
  <si>
    <t xml:space="preserve">اجمالي الباعة بالمخزن </t>
  </si>
  <si>
    <t xml:space="preserve">الصنف </t>
  </si>
  <si>
    <t xml:space="preserve">الكمية </t>
  </si>
  <si>
    <t xml:space="preserve">تم صرف من المخزن </t>
  </si>
  <si>
    <t xml:space="preserve">الرصيد بالمخزن </t>
  </si>
  <si>
    <t>منيا فص 4سم</t>
  </si>
  <si>
    <t xml:space="preserve">منيا فص 2سم </t>
  </si>
  <si>
    <t>سلفيا 2سم</t>
  </si>
  <si>
    <t xml:space="preserve">السعر </t>
  </si>
  <si>
    <t xml:space="preserve">منيا 3سم </t>
  </si>
  <si>
    <t xml:space="preserve">يضاف مصاريف نقل </t>
  </si>
  <si>
    <t xml:space="preserve">اجمالي المبلغ </t>
  </si>
  <si>
    <t xml:space="preserve">اجمالي تسعير المخزون علي ارضة  </t>
  </si>
  <si>
    <t>7نقلات ×1850ج</t>
  </si>
  <si>
    <t>8نقلات ×1850ج</t>
  </si>
  <si>
    <t>المبلغ</t>
  </si>
  <si>
    <t xml:space="preserve">الايضاحات لمصاريف النقل </t>
  </si>
  <si>
    <t>كمية جديدة</t>
  </si>
  <si>
    <t xml:space="preserve">كمية  قديم </t>
  </si>
  <si>
    <t>الفرق</t>
  </si>
  <si>
    <t>تقرير تقديري  لورشة الرخام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</si>
</sst>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\ _د_._إ_._‏_-;\-* #,##0\ _د_._إ_._‏_-;_-* &quot;-&quot;??\ _د_._إ_._‏_-;_-@_-"/>
    <numFmt numFmtId="165" formatCode="[$-1010000]d/m/yyyy;@"/>
    <numFmt numFmtId="166" formatCode="_-* #,##0_-;\-* #,##0_-;_-* &quot;-&quot;??_-;_-@_-"/>
    <numFmt numFmtId="167" formatCode="_-* #,##0.00_-;_-* #,##0.00\-;_-* &quot;-&quot;??_-;_-@_-"/>
    <numFmt numFmtId="168" formatCode="_-* #,##0_-;_-* #,##0\-;_-* &quot;-&quot;??_-;_-@_-"/>
  </numFmts>
  <fonts count="23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20"/>
      <color theme="1"/>
      <name val="Calibri"/>
      <family val="2"/>
    </font>
    <font>
      <sz val="20"/>
      <color theme="1"/>
      <name val="Arial"/>
      <family val="2"/>
      <scheme val="minor"/>
    </font>
    <font>
      <b/>
      <sz val="20"/>
      <color theme="1"/>
      <name val="Arial"/>
      <family val="2"/>
      <scheme val="minor"/>
    </font>
    <font>
      <b/>
      <u/>
      <sz val="22"/>
      <color theme="3" tint="-0.499984740745262"/>
      <name val="Arial"/>
      <family val="2"/>
      <charset val="178"/>
      <scheme val="minor"/>
    </font>
    <font>
      <b/>
      <u/>
      <sz val="22"/>
      <color theme="3" tint="-0.499984740745262"/>
      <name val="Calibri"/>
      <family val="2"/>
      <charset val="178"/>
    </font>
    <font>
      <u/>
      <sz val="22"/>
      <color theme="3" tint="-0.499984740745262"/>
      <name val="Arial"/>
      <family val="2"/>
      <charset val="178"/>
      <scheme val="minor"/>
    </font>
    <font>
      <sz val="14"/>
      <color theme="1"/>
      <name val="Arial"/>
      <family val="2"/>
      <scheme val="minor"/>
    </font>
    <font>
      <sz val="18"/>
      <color theme="1"/>
      <name val="Arial"/>
      <family val="2"/>
      <scheme val="minor"/>
    </font>
    <font>
      <sz val="22"/>
      <color theme="1"/>
      <name val="Arial"/>
      <family val="2"/>
      <scheme val="minor"/>
    </font>
    <font>
      <b/>
      <u/>
      <sz val="14"/>
      <color theme="1"/>
      <name val="Arial"/>
      <family val="2"/>
      <scheme val="minor"/>
    </font>
    <font>
      <b/>
      <u/>
      <sz val="18"/>
      <color theme="1"/>
      <name val="Arial"/>
      <family val="2"/>
      <scheme val="minor"/>
    </font>
    <font>
      <sz val="24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6"/>
      <color theme="1"/>
      <name val="Arial"/>
      <family val="2"/>
      <scheme val="minor"/>
    </font>
    <font>
      <b/>
      <u val="singleAccounting"/>
      <sz val="14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u val="singleAccounting"/>
      <sz val="16"/>
      <color theme="1"/>
      <name val="Arial"/>
      <family val="2"/>
      <scheme val="minor"/>
    </font>
    <font>
      <b/>
      <u/>
      <sz val="20"/>
      <color theme="1"/>
      <name val="Arial"/>
      <family val="2"/>
      <scheme val="minor"/>
    </font>
    <font>
      <b/>
      <u val="singleAccounting"/>
      <sz val="12"/>
      <color theme="1"/>
      <name val="Arial"/>
      <family val="2"/>
      <scheme val="minor"/>
    </font>
    <font>
      <b/>
      <u val="singleAccounting"/>
      <sz val="18"/>
      <color theme="1"/>
      <name val="Arial"/>
      <family val="2"/>
      <scheme val="minor"/>
    </font>
    <font>
      <u/>
      <sz val="18"/>
      <color theme="1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0.5">
          <color theme="2" tint="-9.8025452436902985E-2"/>
        </stop>
        <stop position="1">
          <color theme="0"/>
        </stop>
      </gradientFill>
    </fill>
    <fill>
      <gradientFill degree="90">
        <stop position="0">
          <color theme="0"/>
        </stop>
        <stop position="1">
          <color theme="6"/>
        </stop>
      </gradient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165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right" vertical="center"/>
    </xf>
    <xf numFmtId="164" fontId="3" fillId="2" borderId="4" xfId="1" applyNumberFormat="1" applyFont="1" applyFill="1" applyBorder="1" applyAlignment="1">
      <alignment horizontal="center" vertical="center"/>
    </xf>
    <xf numFmtId="164" fontId="4" fillId="2" borderId="3" xfId="1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65" fontId="2" fillId="3" borderId="3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right" vertical="center"/>
    </xf>
    <xf numFmtId="164" fontId="3" fillId="3" borderId="4" xfId="1" applyNumberFormat="1" applyFont="1" applyFill="1" applyBorder="1" applyAlignment="1">
      <alignment horizontal="center" vertical="center"/>
    </xf>
    <xf numFmtId="164" fontId="4" fillId="3" borderId="3" xfId="1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3" borderId="3" xfId="0" applyFill="1" applyBorder="1"/>
    <xf numFmtId="0" fontId="0" fillId="2" borderId="3" xfId="0" applyFill="1" applyBorder="1"/>
    <xf numFmtId="0" fontId="5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164" fontId="6" fillId="4" borderId="2" xfId="1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0" fillId="0" borderId="3" xfId="0" applyBorder="1"/>
    <xf numFmtId="0" fontId="11" fillId="5" borderId="6" xfId="0" applyFont="1" applyFill="1" applyBorder="1" applyAlignment="1" applyProtection="1">
      <alignment horizontal="center" vertical="center"/>
      <protection locked="0"/>
    </xf>
    <xf numFmtId="0" fontId="0" fillId="0" borderId="3" xfId="0" applyBorder="1" applyProtection="1">
      <protection locked="0"/>
    </xf>
    <xf numFmtId="0" fontId="11" fillId="5" borderId="7" xfId="0" applyFont="1" applyFill="1" applyBorder="1" applyAlignment="1" applyProtection="1">
      <alignment horizontal="center" vertical="center"/>
      <protection locked="0"/>
    </xf>
    <xf numFmtId="0" fontId="11" fillId="5" borderId="3" xfId="0" applyFont="1" applyFill="1" applyBorder="1" applyAlignment="1" applyProtection="1">
      <alignment horizontal="center" vertical="center"/>
      <protection locked="0"/>
    </xf>
    <xf numFmtId="168" fontId="8" fillId="0" borderId="3" xfId="1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3" xfId="0" applyFont="1" applyBorder="1" applyProtection="1">
      <protection locked="0"/>
    </xf>
    <xf numFmtId="0" fontId="8" fillId="0" borderId="3" xfId="0" applyFont="1" applyBorder="1"/>
    <xf numFmtId="166" fontId="8" fillId="0" borderId="3" xfId="1" applyNumberFormat="1" applyFont="1" applyBorder="1"/>
    <xf numFmtId="167" fontId="8" fillId="0" borderId="3" xfId="1" applyNumberFormat="1" applyFont="1" applyBorder="1" applyAlignment="1" applyProtection="1">
      <alignment horizontal="center" vertical="center"/>
      <protection locked="0"/>
    </xf>
    <xf numFmtId="166" fontId="8" fillId="0" borderId="3" xfId="0" applyNumberFormat="1" applyFont="1" applyBorder="1"/>
    <xf numFmtId="166" fontId="8" fillId="0" borderId="3" xfId="0" applyNumberFormat="1" applyFont="1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43" fontId="0" fillId="0" borderId="0" xfId="1" applyFont="1"/>
    <xf numFmtId="166" fontId="0" fillId="0" borderId="0" xfId="1" applyNumberFormat="1" applyFont="1"/>
    <xf numFmtId="166" fontId="0" fillId="0" borderId="0" xfId="0" applyNumberFormat="1"/>
    <xf numFmtId="166" fontId="10" fillId="0" borderId="4" xfId="1" applyNumberFormat="1" applyFont="1" applyBorder="1" applyAlignment="1">
      <alignment horizontal="center" vertical="center"/>
    </xf>
    <xf numFmtId="164" fontId="3" fillId="3" borderId="3" xfId="1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66" fontId="8" fillId="0" borderId="3" xfId="1" applyNumberFormat="1" applyFont="1" applyBorder="1" applyAlignment="1">
      <alignment horizontal="center" vertical="center"/>
    </xf>
    <xf numFmtId="166" fontId="8" fillId="0" borderId="3" xfId="0" applyNumberFormat="1" applyFont="1" applyBorder="1" applyAlignment="1">
      <alignment horizontal="center" vertical="center"/>
    </xf>
    <xf numFmtId="0" fontId="17" fillId="0" borderId="0" xfId="0" applyFont="1"/>
    <xf numFmtId="166" fontId="18" fillId="0" borderId="3" xfId="0" applyNumberFormat="1" applyFont="1" applyBorder="1"/>
    <xf numFmtId="0" fontId="15" fillId="0" borderId="0" xfId="0" applyFont="1"/>
    <xf numFmtId="166" fontId="15" fillId="0" borderId="3" xfId="0" applyNumberFormat="1" applyFont="1" applyBorder="1"/>
    <xf numFmtId="166" fontId="15" fillId="0" borderId="3" xfId="1" applyNumberFormat="1" applyFont="1" applyBorder="1"/>
    <xf numFmtId="43" fontId="8" fillId="0" borderId="3" xfId="1" applyFont="1" applyBorder="1" applyAlignment="1">
      <alignment horizontal="center" vertical="center"/>
    </xf>
    <xf numFmtId="43" fontId="16" fillId="0" borderId="3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43" fontId="0" fillId="0" borderId="3" xfId="1" applyFont="1" applyBorder="1"/>
    <xf numFmtId="43" fontId="14" fillId="0" borderId="3" xfId="1" applyFont="1" applyBorder="1" applyAlignment="1">
      <alignment vertical="center"/>
    </xf>
    <xf numFmtId="43" fontId="20" fillId="0" borderId="3" xfId="0" applyNumberFormat="1" applyFont="1" applyBorder="1"/>
    <xf numFmtId="166" fontId="14" fillId="0" borderId="3" xfId="1" applyNumberFormat="1" applyFont="1" applyBorder="1" applyAlignment="1">
      <alignment horizontal="center" vertical="center"/>
    </xf>
    <xf numFmtId="166" fontId="0" fillId="0" borderId="3" xfId="1" applyNumberFormat="1" applyFont="1" applyBorder="1"/>
    <xf numFmtId="43" fontId="14" fillId="0" borderId="0" xfId="1" applyFont="1" applyAlignment="1">
      <alignment horizontal="center" vertical="center"/>
    </xf>
    <xf numFmtId="43" fontId="14" fillId="0" borderId="0" xfId="0" applyNumberFormat="1" applyFont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166" fontId="18" fillId="0" borderId="3" xfId="0" applyNumberFormat="1" applyFont="1" applyBorder="1" applyAlignment="1">
      <alignment horizontal="center" vertical="center"/>
    </xf>
    <xf numFmtId="166" fontId="21" fillId="0" borderId="0" xfId="1" applyNumberFormat="1" applyFont="1"/>
    <xf numFmtId="0" fontId="15" fillId="0" borderId="3" xfId="0" applyFont="1" applyBorder="1"/>
    <xf numFmtId="0" fontId="15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15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166" fontId="9" fillId="0" borderId="12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4" fillId="0" borderId="3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7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6">
    <dxf>
      <font>
        <b/>
        <i val="0"/>
      </font>
      <border>
        <left style="thin">
          <color theme="1"/>
        </left>
        <right style="thin">
          <color theme="1"/>
        </right>
        <top style="dashed">
          <color theme="1" tint="0.24994659260841701"/>
        </top>
        <bottom style="dashed">
          <color theme="1" tint="0.24994659260841701"/>
        </bottom>
        <vertical/>
        <horizontal/>
      </border>
    </dxf>
    <dxf>
      <font>
        <b/>
        <i val="0"/>
      </font>
      <fill>
        <patternFill>
          <bgColor theme="6" tint="0.79998168889431442"/>
        </patternFill>
      </fill>
      <border>
        <left style="thin">
          <color theme="1"/>
        </left>
        <right style="thin">
          <color theme="1"/>
        </right>
        <top style="dashed">
          <color theme="1" tint="0.24994659260841701"/>
        </top>
        <bottom style="dashed">
          <color theme="1" tint="0.24994659260841701"/>
        </bottom>
        <vertical/>
        <horizontal/>
      </border>
    </dxf>
    <dxf>
      <font>
        <b/>
        <i val="0"/>
      </font>
      <border>
        <left style="thin">
          <color theme="1"/>
        </left>
        <right style="thin">
          <color theme="1"/>
        </right>
        <top style="dashed">
          <color theme="1" tint="0.24994659260841701"/>
        </top>
        <bottom style="dashed">
          <color theme="1" tint="0.24994659260841701"/>
        </bottom>
        <vertical/>
        <horizontal/>
      </border>
    </dxf>
    <dxf>
      <font>
        <b/>
        <i val="0"/>
      </font>
      <fill>
        <patternFill>
          <bgColor theme="6" tint="0.79998168889431442"/>
        </patternFill>
      </fill>
      <border>
        <left style="thin">
          <color theme="1"/>
        </left>
        <right style="thin">
          <color theme="1"/>
        </right>
        <top style="dashed">
          <color theme="1" tint="0.24994659260841701"/>
        </top>
        <bottom style="dashed">
          <color theme="1" tint="0.2499465926084170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581;&#1587;&#1575;&#1576;&#1575;&#1578;%202023\&#1581;&#1587;&#1575;&#1576;%20&#1608;&#1585;&#1588;&#1577;%20&#1575;&#1604;&#1585;&#1582;&#1575;&#1605;%20&#1607;&#1575;&#1606;&#1610;%20&#1575;&#1604;&#1581;&#1580;&#1575;&#1585;\&#1605;&#1582;&#1586;&#1606;%20&#1608;&#1588;&#1577;%20&#1575;&#1604;&#1585;&#1582;&#1575;&#1605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&#1581;&#1587;&#1575;&#1576;&#1575;&#1578;%202023\&#1581;&#1587;&#1575;&#1576;%20&#1608;&#1585;&#1588;&#1577;%20&#1575;&#1604;&#1585;&#1582;&#1575;&#1605;%20&#1607;&#1575;&#1606;&#1610;%20&#1575;&#1604;&#1581;&#1580;&#1575;&#1585;\&#1605;&#1582;&#1586;&#1606;%20&#1608;&#1588;&#1577;%20&#1575;&#1604;&#1585;&#1582;&#1575;&#1605;%20&#1588;&#1607;&#1585;%2010-2023.xlsx" TargetMode="External"/><Relationship Id="rId1" Type="http://schemas.openxmlformats.org/officeDocument/2006/relationships/externalLinkPath" Target="&#1605;&#1582;&#1586;&#1606;%20&#1608;&#1588;&#1577;%20&#1575;&#1604;&#1585;&#1582;&#1575;&#1605;%20&#1588;&#1607;&#1585;%2010-2023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1581;&#1587;&#1575;&#1576;&#1575;&#1578;%202024\&#1581;&#1587;&#1575;&#1576;%20&#1608;&#1585;&#1588;&#1577;%20&#1575;&#1604;&#1585;&#1582;&#1575;&#1605;%20&#1607;&#1575;&#1606;&#1610;%20&#1575;&#1604;&#1581;&#1580;&#1575;&#1585;\&#1605;&#1582;&#1586;&#1606;%20&#1608;&#1588;&#1577;%20&#1575;&#1604;&#1585;&#1582;&#1575;&#1605;%20&#1588;&#1607;&#1585;%2011-2023.xlsx" TargetMode="External"/><Relationship Id="rId1" Type="http://schemas.openxmlformats.org/officeDocument/2006/relationships/externalLinkPath" Target="&#1605;&#1582;&#1586;&#1606;%20&#1608;&#1588;&#1577;%20&#1575;&#1604;&#1585;&#1582;&#1575;&#1605;%20&#1588;&#1607;&#1585;%2011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الدليل"/>
      <sheetName val="STORE"/>
      <sheetName val="ADD"/>
      <sheetName val="RE-coustmer"/>
      <sheetName val="OUT"/>
      <sheetName val="RE-Supplier"/>
      <sheetName val="Rep"/>
      <sheetName val="AAC-ITEM"/>
      <sheetName val="HELP ACC-ITEMS"/>
    </sheetNames>
    <sheetDataSet>
      <sheetData sheetId="0"/>
      <sheetData sheetId="1"/>
      <sheetData sheetId="2">
        <row r="3">
          <cell r="F3" t="str">
            <v>اســــم الصـــنــف</v>
          </cell>
        </row>
        <row r="4">
          <cell r="F4" t="str">
            <v>منيا فص 2سم</v>
          </cell>
        </row>
        <row r="5">
          <cell r="F5" t="str">
            <v>منيا فص 4 سم</v>
          </cell>
        </row>
        <row r="6">
          <cell r="F6" t="str">
            <v>منيا فص 4 سم</v>
          </cell>
        </row>
        <row r="7">
          <cell r="F7" t="str">
            <v>منيا فص 2سم</v>
          </cell>
        </row>
        <row r="8">
          <cell r="F8" t="str">
            <v>نيو حلايب 2سم</v>
          </cell>
        </row>
        <row r="9">
          <cell r="F9" t="str">
            <v xml:space="preserve">سلفيا 2سم </v>
          </cell>
        </row>
        <row r="10">
          <cell r="F10" t="str">
            <v>برتولو جولد 2سم</v>
          </cell>
        </row>
        <row r="11">
          <cell r="F11" t="str">
            <v xml:space="preserve">احمر اسواني 2سم </v>
          </cell>
        </row>
        <row r="12">
          <cell r="F12" t="str">
            <v>فيردي 2سم</v>
          </cell>
        </row>
        <row r="13">
          <cell r="F13" t="str">
            <v>فيردي 2سم</v>
          </cell>
        </row>
        <row r="14">
          <cell r="F14" t="str">
            <v>نيو حلايب 2سم</v>
          </cell>
        </row>
        <row r="15">
          <cell r="F15" t="str">
            <v>نيو حلايب 2سم</v>
          </cell>
        </row>
        <row r="16">
          <cell r="F16" t="str">
            <v xml:space="preserve">فرسان 2سم </v>
          </cell>
        </row>
        <row r="17">
          <cell r="F17" t="str">
            <v>رويل 2سم</v>
          </cell>
        </row>
        <row r="18">
          <cell r="F18" t="str">
            <v>سفاجا 2سم</v>
          </cell>
        </row>
        <row r="19">
          <cell r="F19" t="str">
            <v>منيا فص 4 سم</v>
          </cell>
        </row>
        <row r="20">
          <cell r="F20" t="str">
            <v>منيا فص 2سم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الدليل"/>
      <sheetName val="STORE"/>
      <sheetName val="ADD"/>
      <sheetName val="RE-coustmer"/>
      <sheetName val="OUT"/>
      <sheetName val="RE-Supplier"/>
      <sheetName val="Rep"/>
      <sheetName val="AAC-ITEM"/>
      <sheetName val="HELP ACC-ITEMS"/>
    </sheetNames>
    <sheetDataSet>
      <sheetData sheetId="0"/>
      <sheetData sheetId="1">
        <row r="5">
          <cell r="D5" t="str">
            <v xml:space="preserve">اسم الصنف </v>
          </cell>
        </row>
        <row r="6">
          <cell r="D6" t="str">
            <v>منيا فص 2سم</v>
          </cell>
          <cell r="H6">
            <v>483.6</v>
          </cell>
          <cell r="J6">
            <v>151</v>
          </cell>
          <cell r="L6">
            <v>332.6</v>
          </cell>
        </row>
        <row r="7">
          <cell r="D7" t="str">
            <v>منيا فص 4 سم</v>
          </cell>
          <cell r="H7">
            <v>267</v>
          </cell>
          <cell r="J7">
            <v>58</v>
          </cell>
          <cell r="L7">
            <v>209</v>
          </cell>
        </row>
        <row r="8">
          <cell r="D8" t="str">
            <v xml:space="preserve">سلفيا 2سم </v>
          </cell>
          <cell r="H8">
            <v>143</v>
          </cell>
          <cell r="J8">
            <v>2</v>
          </cell>
          <cell r="L8">
            <v>141</v>
          </cell>
        </row>
        <row r="9">
          <cell r="D9" t="str">
            <v>سلفيا 4 سم</v>
          </cell>
          <cell r="H9">
            <v>0</v>
          </cell>
          <cell r="J9">
            <v>0</v>
          </cell>
          <cell r="L9">
            <v>0</v>
          </cell>
        </row>
        <row r="10">
          <cell r="D10" t="str">
            <v>نيو حلايب 2سم</v>
          </cell>
          <cell r="H10">
            <v>149.79000000000002</v>
          </cell>
          <cell r="J10">
            <v>59</v>
          </cell>
          <cell r="L10">
            <v>90.79000000000002</v>
          </cell>
        </row>
        <row r="11">
          <cell r="D11" t="str">
            <v>نيو حلايب 4سم</v>
          </cell>
          <cell r="H11">
            <v>0</v>
          </cell>
          <cell r="J11">
            <v>0</v>
          </cell>
          <cell r="L11">
            <v>0</v>
          </cell>
        </row>
        <row r="12">
          <cell r="D12" t="str">
            <v xml:space="preserve">احمر اسواني 2سم </v>
          </cell>
          <cell r="H12">
            <v>18</v>
          </cell>
          <cell r="J12">
            <v>0</v>
          </cell>
          <cell r="L12">
            <v>18</v>
          </cell>
        </row>
        <row r="13">
          <cell r="D13" t="str">
            <v xml:space="preserve">احمر اسواني 4سم </v>
          </cell>
          <cell r="H13">
            <v>0</v>
          </cell>
          <cell r="J13">
            <v>0</v>
          </cell>
          <cell r="L13">
            <v>0</v>
          </cell>
        </row>
        <row r="14">
          <cell r="D14" t="str">
            <v>فيردي 2سم</v>
          </cell>
          <cell r="H14">
            <v>42</v>
          </cell>
          <cell r="J14">
            <v>0</v>
          </cell>
          <cell r="L14">
            <v>42</v>
          </cell>
        </row>
        <row r="15">
          <cell r="D15" t="str">
            <v xml:space="preserve">فيردي 4سم </v>
          </cell>
          <cell r="H15">
            <v>0</v>
          </cell>
          <cell r="J15">
            <v>0</v>
          </cell>
          <cell r="L15">
            <v>0</v>
          </cell>
        </row>
        <row r="16">
          <cell r="D16" t="str">
            <v>برتولو جولد 2سم</v>
          </cell>
          <cell r="H16">
            <v>8.5</v>
          </cell>
          <cell r="J16">
            <v>0</v>
          </cell>
          <cell r="L16">
            <v>8.5</v>
          </cell>
        </row>
        <row r="17">
          <cell r="D17" t="str">
            <v>تريستا 2سم</v>
          </cell>
          <cell r="H17">
            <v>0</v>
          </cell>
          <cell r="J17">
            <v>0</v>
          </cell>
          <cell r="L17">
            <v>0</v>
          </cell>
        </row>
        <row r="18">
          <cell r="D18" t="str">
            <v>اسود جلاكسي 2سم</v>
          </cell>
          <cell r="H18">
            <v>0</v>
          </cell>
          <cell r="J18">
            <v>0</v>
          </cell>
          <cell r="L18">
            <v>0</v>
          </cell>
        </row>
        <row r="19">
          <cell r="D19" t="str">
            <v>هودي 2سم</v>
          </cell>
          <cell r="H19">
            <v>34.840000000000003</v>
          </cell>
          <cell r="J19">
            <v>0</v>
          </cell>
          <cell r="L19">
            <v>34.840000000000003</v>
          </cell>
        </row>
        <row r="20">
          <cell r="D20" t="str">
            <v>هودي 4سم</v>
          </cell>
          <cell r="H20">
            <v>0</v>
          </cell>
          <cell r="J20">
            <v>0</v>
          </cell>
          <cell r="L20">
            <v>0</v>
          </cell>
        </row>
        <row r="21">
          <cell r="D21" t="str">
            <v xml:space="preserve">جاندولة 2سم </v>
          </cell>
          <cell r="H21">
            <v>0</v>
          </cell>
          <cell r="J21">
            <v>0</v>
          </cell>
          <cell r="L21">
            <v>0</v>
          </cell>
        </row>
        <row r="22">
          <cell r="D22" t="str">
            <v xml:space="preserve">جاندولة 4سم </v>
          </cell>
          <cell r="H22">
            <v>0</v>
          </cell>
          <cell r="J22">
            <v>0</v>
          </cell>
          <cell r="L22">
            <v>0</v>
          </cell>
        </row>
        <row r="23">
          <cell r="D23" t="str">
            <v xml:space="preserve">حلايب 2سم </v>
          </cell>
          <cell r="H23">
            <v>0</v>
          </cell>
          <cell r="J23">
            <v>0</v>
          </cell>
          <cell r="L23">
            <v>0</v>
          </cell>
        </row>
        <row r="24">
          <cell r="D24" t="str">
            <v xml:space="preserve">حلايب 4سم </v>
          </cell>
          <cell r="H24">
            <v>0</v>
          </cell>
          <cell r="J24">
            <v>0</v>
          </cell>
          <cell r="L24">
            <v>0</v>
          </cell>
        </row>
        <row r="25">
          <cell r="D25" t="str">
            <v>كرارة 2سم</v>
          </cell>
          <cell r="H25">
            <v>0</v>
          </cell>
          <cell r="J25">
            <v>0</v>
          </cell>
          <cell r="L25">
            <v>0</v>
          </cell>
        </row>
        <row r="26">
          <cell r="D26" t="str">
            <v xml:space="preserve">فرسان 2سم </v>
          </cell>
          <cell r="H26">
            <v>40</v>
          </cell>
          <cell r="J26">
            <v>0</v>
          </cell>
          <cell r="L26">
            <v>40</v>
          </cell>
        </row>
        <row r="27">
          <cell r="D27" t="str">
            <v>سفاجا 2سم</v>
          </cell>
          <cell r="H27">
            <v>25</v>
          </cell>
          <cell r="J27">
            <v>0</v>
          </cell>
          <cell r="L27">
            <v>25</v>
          </cell>
        </row>
        <row r="28">
          <cell r="D28" t="str">
            <v>رويل 2سم</v>
          </cell>
          <cell r="H28">
            <v>20.61</v>
          </cell>
          <cell r="J28">
            <v>2.2000000000000002</v>
          </cell>
          <cell r="L28">
            <v>18.41</v>
          </cell>
        </row>
        <row r="29">
          <cell r="D29" t="str">
            <v>روزة نصر 2سم</v>
          </cell>
          <cell r="H29">
            <v>15</v>
          </cell>
          <cell r="L29">
            <v>15</v>
          </cell>
        </row>
        <row r="30">
          <cell r="D30" t="str">
            <v>رمادي شركة 2سم</v>
          </cell>
          <cell r="H30">
            <v>7.5</v>
          </cell>
          <cell r="L30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الدليل"/>
      <sheetName val="STORE"/>
      <sheetName val="ADD"/>
      <sheetName val="RE-coustmer"/>
      <sheetName val="OUT"/>
      <sheetName val="RE-Supplier"/>
      <sheetName val="Rep"/>
      <sheetName val="AAC-ITEM"/>
      <sheetName val="HELP ACC-ITEMS"/>
    </sheetNames>
    <sheetDataSet>
      <sheetData sheetId="0"/>
      <sheetData sheetId="1">
        <row r="5">
          <cell r="D5" t="str">
            <v xml:space="preserve">اسم الصنف </v>
          </cell>
        </row>
        <row r="6">
          <cell r="D6" t="str">
            <v>منيا فص 2سم</v>
          </cell>
        </row>
        <row r="7">
          <cell r="D7" t="str">
            <v>منيا فص 4 سم</v>
          </cell>
        </row>
        <row r="8">
          <cell r="D8" t="str">
            <v xml:space="preserve">سلفيا 2سم </v>
          </cell>
        </row>
        <row r="9">
          <cell r="D9" t="str">
            <v>سلفيا 4 سم</v>
          </cell>
          <cell r="J9">
            <v>74.400000000000006</v>
          </cell>
        </row>
        <row r="10">
          <cell r="D10" t="str">
            <v>نيو حلايب 2سم</v>
          </cell>
        </row>
        <row r="11">
          <cell r="D11" t="str">
            <v>نيو حلايب 4سم</v>
          </cell>
          <cell r="J11">
            <v>15</v>
          </cell>
        </row>
        <row r="12">
          <cell r="D12" t="str">
            <v xml:space="preserve">احمر اسواني 2سم </v>
          </cell>
        </row>
        <row r="13">
          <cell r="D13" t="str">
            <v xml:space="preserve">احمر اسواني 4سم </v>
          </cell>
          <cell r="J13">
            <v>0</v>
          </cell>
        </row>
        <row r="14">
          <cell r="D14" t="str">
            <v>فيردي 2سم</v>
          </cell>
          <cell r="J14">
            <v>42</v>
          </cell>
        </row>
        <row r="15">
          <cell r="D15" t="str">
            <v xml:space="preserve">فيردي 4سم </v>
          </cell>
          <cell r="J15">
            <v>0</v>
          </cell>
        </row>
        <row r="16">
          <cell r="D16" t="str">
            <v>برتولو جولد 2سم</v>
          </cell>
          <cell r="J16">
            <v>9</v>
          </cell>
        </row>
        <row r="17">
          <cell r="D17" t="str">
            <v>تريستا 2سم</v>
          </cell>
          <cell r="J17">
            <v>0</v>
          </cell>
        </row>
        <row r="18">
          <cell r="D18" t="str">
            <v>اسود جلاكسي 2سم</v>
          </cell>
          <cell r="J18">
            <v>0</v>
          </cell>
        </row>
        <row r="19">
          <cell r="D19" t="str">
            <v>هودي 2سم</v>
          </cell>
        </row>
        <row r="20">
          <cell r="D20" t="str">
            <v>هودي 4سم</v>
          </cell>
          <cell r="J20">
            <v>0</v>
          </cell>
        </row>
        <row r="21">
          <cell r="D21" t="str">
            <v xml:space="preserve">جاندولة 2سم </v>
          </cell>
          <cell r="J21">
            <v>0</v>
          </cell>
        </row>
        <row r="22">
          <cell r="D22" t="str">
            <v xml:space="preserve">جاندولة 4سم </v>
          </cell>
          <cell r="J22">
            <v>0</v>
          </cell>
        </row>
        <row r="23">
          <cell r="D23" t="str">
            <v xml:space="preserve">حلايب 2سم </v>
          </cell>
          <cell r="J23">
            <v>0</v>
          </cell>
        </row>
        <row r="24">
          <cell r="D24" t="str">
            <v xml:space="preserve">حلايب 4سم </v>
          </cell>
          <cell r="J24">
            <v>0</v>
          </cell>
        </row>
        <row r="25">
          <cell r="D25" t="str">
            <v>كرارة 2سم</v>
          </cell>
          <cell r="J25">
            <v>0</v>
          </cell>
        </row>
        <row r="26">
          <cell r="D26" t="str">
            <v xml:space="preserve">فرسان 2سم </v>
          </cell>
          <cell r="J26">
            <v>45</v>
          </cell>
        </row>
        <row r="27">
          <cell r="D27" t="str">
            <v>سفاجا 2سم</v>
          </cell>
          <cell r="J27">
            <v>26</v>
          </cell>
        </row>
        <row r="28">
          <cell r="D28" t="str">
            <v>رويل 2سم</v>
          </cell>
          <cell r="J28">
            <v>19</v>
          </cell>
        </row>
        <row r="29">
          <cell r="D29" t="str">
            <v>روزة نصر 2سم</v>
          </cell>
        </row>
        <row r="30">
          <cell r="D30" t="str">
            <v>رمادي شركة 2سم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1"/>
  <sheetViews>
    <sheetView rightToLeft="1" zoomScale="78" zoomScaleNormal="78" workbookViewId="0">
      <pane ySplit="2" topLeftCell="A54" activePane="bottomLeft" state="frozen"/>
      <selection pane="bottomLeft" activeCell="F67" sqref="F67"/>
    </sheetView>
  </sheetViews>
  <sheetFormatPr defaultRowHeight="14.25" x14ac:dyDescent="0.2"/>
  <cols>
    <col min="1" max="1" width="28.75" bestFit="1" customWidth="1"/>
    <col min="2" max="2" width="21.25" bestFit="1" customWidth="1"/>
    <col min="3" max="3" width="73.25" customWidth="1"/>
    <col min="4" max="4" width="27.125" bestFit="1" customWidth="1"/>
    <col min="5" max="5" width="25.625" bestFit="1" customWidth="1"/>
    <col min="6" max="6" width="23.125" bestFit="1" customWidth="1"/>
    <col min="7" max="7" width="29.625" bestFit="1" customWidth="1"/>
    <col min="8" max="8" width="34.375" bestFit="1" customWidth="1"/>
    <col min="9" max="9" width="19.375" bestFit="1" customWidth="1"/>
  </cols>
  <sheetData>
    <row r="1" spans="1:9" ht="15" thickBot="1" x14ac:dyDescent="0.25"/>
    <row r="2" spans="1:9" s="19" customFormat="1" ht="58.5" customHeight="1" thickTop="1" thickBot="1" x14ac:dyDescent="0.25">
      <c r="A2" s="15" t="s">
        <v>0</v>
      </c>
      <c r="B2" s="16" t="s">
        <v>1</v>
      </c>
      <c r="C2" s="16" t="s">
        <v>2</v>
      </c>
      <c r="D2" s="17" t="s">
        <v>29</v>
      </c>
      <c r="E2" s="17" t="s">
        <v>28</v>
      </c>
      <c r="F2" s="17" t="s">
        <v>3</v>
      </c>
      <c r="G2" s="16" t="s">
        <v>30</v>
      </c>
      <c r="H2" s="16" t="s">
        <v>4</v>
      </c>
      <c r="I2" s="18" t="s">
        <v>5</v>
      </c>
    </row>
    <row r="3" spans="1:9" ht="45.75" customHeight="1" thickTop="1" x14ac:dyDescent="0.2">
      <c r="A3" s="1" t="s">
        <v>6</v>
      </c>
      <c r="B3" s="1">
        <v>45213</v>
      </c>
      <c r="C3" s="2" t="s">
        <v>7</v>
      </c>
      <c r="D3" s="3"/>
      <c r="E3" s="3">
        <f>350*11</f>
        <v>3850</v>
      </c>
      <c r="F3" s="4">
        <f>E3</f>
        <v>3850</v>
      </c>
      <c r="G3" s="5" t="s">
        <v>8</v>
      </c>
      <c r="H3" s="6" t="s">
        <v>9</v>
      </c>
      <c r="I3" s="14"/>
    </row>
    <row r="4" spans="1:9" ht="45.75" customHeight="1" x14ac:dyDescent="0.2">
      <c r="A4" s="7" t="s">
        <v>6</v>
      </c>
      <c r="B4" s="7">
        <v>45213</v>
      </c>
      <c r="C4" s="8" t="s">
        <v>10</v>
      </c>
      <c r="D4" s="9"/>
      <c r="E4" s="9">
        <f>24*150</f>
        <v>3600</v>
      </c>
      <c r="F4" s="10">
        <f>F3+E4-D4</f>
        <v>7450</v>
      </c>
      <c r="G4" s="11" t="s">
        <v>8</v>
      </c>
      <c r="H4" s="12" t="s">
        <v>9</v>
      </c>
      <c r="I4" s="13"/>
    </row>
    <row r="5" spans="1:9" ht="45.75" customHeight="1" x14ac:dyDescent="0.2">
      <c r="A5" s="1" t="s">
        <v>6</v>
      </c>
      <c r="B5" s="1">
        <v>45213</v>
      </c>
      <c r="C5" s="2" t="s">
        <v>11</v>
      </c>
      <c r="D5" s="3"/>
      <c r="E5" s="3">
        <v>350</v>
      </c>
      <c r="F5" s="10">
        <f t="shared" ref="F5:F68" si="0">F4+E5-D5</f>
        <v>7800</v>
      </c>
      <c r="G5" s="3" t="s">
        <v>8</v>
      </c>
      <c r="H5" s="3" t="s">
        <v>9</v>
      </c>
      <c r="I5" s="3"/>
    </row>
    <row r="6" spans="1:9" ht="45.75" customHeight="1" x14ac:dyDescent="0.2">
      <c r="A6" s="7" t="s">
        <v>6</v>
      </c>
      <c r="B6" s="7">
        <v>45213</v>
      </c>
      <c r="C6" s="8" t="s">
        <v>12</v>
      </c>
      <c r="D6" s="9"/>
      <c r="E6" s="9">
        <f>70*35</f>
        <v>2450</v>
      </c>
      <c r="F6" s="10">
        <f t="shared" si="0"/>
        <v>10250</v>
      </c>
      <c r="G6" s="9" t="s">
        <v>8</v>
      </c>
      <c r="H6" s="9"/>
      <c r="I6" s="9"/>
    </row>
    <row r="7" spans="1:9" ht="45.75" customHeight="1" x14ac:dyDescent="0.2">
      <c r="A7" s="1" t="s">
        <v>6</v>
      </c>
      <c r="B7" s="1">
        <v>45213</v>
      </c>
      <c r="C7" s="2" t="s">
        <v>13</v>
      </c>
      <c r="D7" s="3"/>
      <c r="E7" s="3">
        <f>30*50</f>
        <v>1500</v>
      </c>
      <c r="F7" s="10">
        <f t="shared" si="0"/>
        <v>11750</v>
      </c>
      <c r="G7" s="3" t="s">
        <v>8</v>
      </c>
      <c r="H7" s="3"/>
      <c r="I7" s="3"/>
    </row>
    <row r="8" spans="1:9" ht="45.75" customHeight="1" x14ac:dyDescent="0.2">
      <c r="A8" s="7" t="s">
        <v>6</v>
      </c>
      <c r="B8" s="7">
        <v>45213</v>
      </c>
      <c r="C8" s="8" t="s">
        <v>14</v>
      </c>
      <c r="D8" s="9">
        <v>1500</v>
      </c>
      <c r="E8" s="9"/>
      <c r="F8" s="10">
        <f t="shared" si="0"/>
        <v>10250</v>
      </c>
      <c r="G8" s="9"/>
      <c r="H8" s="9"/>
      <c r="I8" s="9"/>
    </row>
    <row r="9" spans="1:9" ht="45.75" customHeight="1" x14ac:dyDescent="0.2">
      <c r="A9" s="1" t="s">
        <v>6</v>
      </c>
      <c r="B9" s="1">
        <v>45213</v>
      </c>
      <c r="C9" s="2" t="s">
        <v>14</v>
      </c>
      <c r="D9" s="3">
        <f>6*220</f>
        <v>1320</v>
      </c>
      <c r="E9" s="3"/>
      <c r="F9" s="10">
        <f t="shared" si="0"/>
        <v>8930</v>
      </c>
      <c r="G9" s="3"/>
      <c r="H9" s="3"/>
      <c r="I9" s="3"/>
    </row>
    <row r="10" spans="1:9" ht="45.75" customHeight="1" x14ac:dyDescent="0.2">
      <c r="A10" s="7" t="s">
        <v>6</v>
      </c>
      <c r="B10" s="7">
        <v>45213</v>
      </c>
      <c r="C10" s="8" t="s">
        <v>14</v>
      </c>
      <c r="D10" s="9">
        <f>6*50</f>
        <v>300</v>
      </c>
      <c r="E10" s="9"/>
      <c r="F10" s="10">
        <f t="shared" si="0"/>
        <v>8630</v>
      </c>
      <c r="G10" s="9"/>
      <c r="H10" s="9"/>
      <c r="I10" s="9"/>
    </row>
    <row r="11" spans="1:9" ht="45.75" customHeight="1" x14ac:dyDescent="0.2">
      <c r="A11" s="1" t="s">
        <v>6</v>
      </c>
      <c r="B11" s="1">
        <v>45213</v>
      </c>
      <c r="C11" s="2" t="s">
        <v>14</v>
      </c>
      <c r="D11" s="3">
        <f>6*60</f>
        <v>360</v>
      </c>
      <c r="E11" s="3"/>
      <c r="F11" s="10">
        <f t="shared" si="0"/>
        <v>8270</v>
      </c>
      <c r="G11" s="3"/>
      <c r="H11" s="3"/>
      <c r="I11" s="3"/>
    </row>
    <row r="12" spans="1:9" ht="45.75" customHeight="1" x14ac:dyDescent="0.2">
      <c r="A12" s="7" t="s">
        <v>6</v>
      </c>
      <c r="B12" s="7">
        <v>45213</v>
      </c>
      <c r="C12" s="8" t="s">
        <v>15</v>
      </c>
      <c r="D12" s="9">
        <v>205</v>
      </c>
      <c r="E12" s="9"/>
      <c r="F12" s="10">
        <f t="shared" si="0"/>
        <v>8065</v>
      </c>
      <c r="G12" s="9"/>
      <c r="H12" s="9"/>
      <c r="I12" s="9"/>
    </row>
    <row r="13" spans="1:9" ht="45.75" customHeight="1" x14ac:dyDescent="0.2">
      <c r="A13" s="1" t="s">
        <v>16</v>
      </c>
      <c r="B13" s="1">
        <v>45220</v>
      </c>
      <c r="C13" s="2" t="s">
        <v>17</v>
      </c>
      <c r="D13" s="3"/>
      <c r="E13" s="3">
        <f>21*85</f>
        <v>1785</v>
      </c>
      <c r="F13" s="10">
        <f t="shared" si="0"/>
        <v>9850</v>
      </c>
      <c r="G13" s="3"/>
      <c r="H13" s="3" t="s">
        <v>18</v>
      </c>
      <c r="I13" s="3"/>
    </row>
    <row r="14" spans="1:9" ht="45.75" customHeight="1" x14ac:dyDescent="0.2">
      <c r="A14" s="7" t="s">
        <v>16</v>
      </c>
      <c r="B14" s="7">
        <v>45220</v>
      </c>
      <c r="C14" s="8" t="s">
        <v>19</v>
      </c>
      <c r="D14" s="9"/>
      <c r="E14" s="9">
        <f>8*130</f>
        <v>1040</v>
      </c>
      <c r="F14" s="10">
        <f t="shared" si="0"/>
        <v>10890</v>
      </c>
      <c r="G14" s="9"/>
      <c r="H14" s="9"/>
      <c r="I14" s="9"/>
    </row>
    <row r="15" spans="1:9" ht="45.75" customHeight="1" x14ac:dyDescent="0.2">
      <c r="A15" s="1" t="s">
        <v>16</v>
      </c>
      <c r="B15" s="1">
        <v>45220</v>
      </c>
      <c r="C15" s="2" t="s">
        <v>20</v>
      </c>
      <c r="D15" s="3"/>
      <c r="E15" s="3">
        <f>22*310</f>
        <v>6820</v>
      </c>
      <c r="F15" s="10">
        <f t="shared" si="0"/>
        <v>17710</v>
      </c>
      <c r="G15" s="3"/>
      <c r="H15" s="3"/>
      <c r="I15" s="3"/>
    </row>
    <row r="16" spans="1:9" ht="45.75" customHeight="1" x14ac:dyDescent="0.2">
      <c r="A16" s="7" t="s">
        <v>16</v>
      </c>
      <c r="B16" s="7">
        <v>45220</v>
      </c>
      <c r="C16" s="8" t="s">
        <v>21</v>
      </c>
      <c r="D16" s="9"/>
      <c r="E16" s="9">
        <f>2.2*380</f>
        <v>836.00000000000011</v>
      </c>
      <c r="F16" s="10">
        <f t="shared" si="0"/>
        <v>18546</v>
      </c>
      <c r="G16" s="9"/>
      <c r="H16" s="9"/>
      <c r="I16" s="9"/>
    </row>
    <row r="17" spans="1:9" ht="45.75" customHeight="1" x14ac:dyDescent="0.2">
      <c r="A17" s="1" t="s">
        <v>16</v>
      </c>
      <c r="B17" s="1">
        <v>45220</v>
      </c>
      <c r="C17" s="2" t="s">
        <v>22</v>
      </c>
      <c r="D17" s="3"/>
      <c r="E17" s="3">
        <f>0.36*250</f>
        <v>90</v>
      </c>
      <c r="F17" s="10">
        <f t="shared" si="0"/>
        <v>18636</v>
      </c>
      <c r="G17" s="3"/>
      <c r="H17" s="3"/>
      <c r="I17" s="3"/>
    </row>
    <row r="18" spans="1:9" ht="45.75" customHeight="1" x14ac:dyDescent="0.2">
      <c r="A18" s="7" t="s">
        <v>16</v>
      </c>
      <c r="B18" s="7">
        <v>45220</v>
      </c>
      <c r="C18" s="8" t="s">
        <v>23</v>
      </c>
      <c r="D18" s="9"/>
      <c r="E18" s="9">
        <f>3*480</f>
        <v>1440</v>
      </c>
      <c r="F18" s="10">
        <f t="shared" si="0"/>
        <v>20076</v>
      </c>
      <c r="G18" s="9"/>
      <c r="H18" s="9"/>
      <c r="I18" s="9"/>
    </row>
    <row r="19" spans="1:9" ht="45.75" customHeight="1" x14ac:dyDescent="0.2">
      <c r="A19" s="1" t="s">
        <v>16</v>
      </c>
      <c r="B19" s="1">
        <v>45220</v>
      </c>
      <c r="C19" s="2" t="s">
        <v>24</v>
      </c>
      <c r="D19" s="3">
        <f>1120+1200+300+300</f>
        <v>2920</v>
      </c>
      <c r="E19" s="3"/>
      <c r="F19" s="10">
        <f t="shared" si="0"/>
        <v>17156</v>
      </c>
      <c r="G19" s="3"/>
      <c r="H19" s="3"/>
      <c r="I19" s="3"/>
    </row>
    <row r="20" spans="1:9" ht="45.75" customHeight="1" x14ac:dyDescent="0.2">
      <c r="A20" s="7" t="s">
        <v>16</v>
      </c>
      <c r="B20" s="7">
        <v>45220</v>
      </c>
      <c r="C20" s="8" t="s">
        <v>25</v>
      </c>
      <c r="D20" s="9">
        <v>510</v>
      </c>
      <c r="E20" s="9"/>
      <c r="F20" s="10">
        <f t="shared" si="0"/>
        <v>16646</v>
      </c>
      <c r="G20" s="9"/>
      <c r="H20" s="9"/>
      <c r="I20" s="9"/>
    </row>
    <row r="21" spans="1:9" ht="45.75" customHeight="1" x14ac:dyDescent="0.2">
      <c r="A21" s="1" t="s">
        <v>16</v>
      </c>
      <c r="B21" s="1">
        <v>45220</v>
      </c>
      <c r="C21" s="2" t="s">
        <v>26</v>
      </c>
      <c r="D21" s="3">
        <v>3700</v>
      </c>
      <c r="E21" s="3"/>
      <c r="F21" s="10">
        <f t="shared" si="0"/>
        <v>12946</v>
      </c>
      <c r="G21" s="3"/>
      <c r="H21" s="3" t="s">
        <v>27</v>
      </c>
      <c r="I21" s="3"/>
    </row>
    <row r="22" spans="1:9" ht="45.75" customHeight="1" x14ac:dyDescent="0.2">
      <c r="A22" s="7" t="s">
        <v>16</v>
      </c>
      <c r="B22" s="7">
        <v>45220</v>
      </c>
      <c r="C22" s="8" t="s">
        <v>15</v>
      </c>
      <c r="D22" s="9">
        <v>205</v>
      </c>
      <c r="E22" s="9"/>
      <c r="F22" s="10">
        <f t="shared" si="0"/>
        <v>12741</v>
      </c>
      <c r="G22" s="9"/>
      <c r="H22" s="9"/>
      <c r="I22" s="9"/>
    </row>
    <row r="23" spans="1:9" ht="45.75" customHeight="1" x14ac:dyDescent="0.2">
      <c r="A23" s="7" t="s">
        <v>55</v>
      </c>
      <c r="B23" s="1">
        <v>45225</v>
      </c>
      <c r="C23" s="2" t="s">
        <v>56</v>
      </c>
      <c r="D23" s="3"/>
      <c r="E23" s="3">
        <f>1900+4050</f>
        <v>5950</v>
      </c>
      <c r="F23" s="10">
        <f t="shared" si="0"/>
        <v>18691</v>
      </c>
      <c r="G23" s="3" t="s">
        <v>58</v>
      </c>
      <c r="H23" s="3"/>
      <c r="I23" s="3"/>
    </row>
    <row r="24" spans="1:9" ht="45.75" customHeight="1" x14ac:dyDescent="0.2">
      <c r="A24" s="7" t="s">
        <v>55</v>
      </c>
      <c r="B24" s="7">
        <v>45225</v>
      </c>
      <c r="C24" s="8" t="s">
        <v>57</v>
      </c>
      <c r="D24" s="9"/>
      <c r="E24" s="9">
        <v>1100</v>
      </c>
      <c r="F24" s="10">
        <f t="shared" si="0"/>
        <v>19791</v>
      </c>
      <c r="G24" s="9" t="s">
        <v>77</v>
      </c>
      <c r="H24" s="9"/>
      <c r="I24" s="9"/>
    </row>
    <row r="25" spans="1:9" ht="45.75" customHeight="1" x14ac:dyDescent="0.2">
      <c r="A25" s="7" t="s">
        <v>55</v>
      </c>
      <c r="B25" s="1">
        <v>45225</v>
      </c>
      <c r="C25" s="2" t="s">
        <v>59</v>
      </c>
      <c r="D25" s="3"/>
      <c r="E25" s="3">
        <f>48.75*140</f>
        <v>6825</v>
      </c>
      <c r="F25" s="10">
        <f t="shared" si="0"/>
        <v>26616</v>
      </c>
      <c r="G25" s="3" t="s">
        <v>60</v>
      </c>
      <c r="H25" s="3"/>
      <c r="I25" s="3"/>
    </row>
    <row r="26" spans="1:9" ht="45.75" customHeight="1" x14ac:dyDescent="0.2">
      <c r="A26" s="7" t="s">
        <v>55</v>
      </c>
      <c r="B26" s="7">
        <v>45225</v>
      </c>
      <c r="C26" s="8" t="s">
        <v>61</v>
      </c>
      <c r="D26" s="9"/>
      <c r="E26" s="9">
        <f>10*200</f>
        <v>2000</v>
      </c>
      <c r="F26" s="10">
        <f t="shared" si="0"/>
        <v>28616</v>
      </c>
      <c r="G26" s="9" t="s">
        <v>62</v>
      </c>
      <c r="H26" s="9"/>
      <c r="I26" s="9"/>
    </row>
    <row r="27" spans="1:9" ht="45.75" customHeight="1" x14ac:dyDescent="0.2">
      <c r="A27" s="7" t="s">
        <v>55</v>
      </c>
      <c r="B27" s="1">
        <v>45225</v>
      </c>
      <c r="C27" s="2" t="s">
        <v>63</v>
      </c>
      <c r="D27" s="3"/>
      <c r="E27" s="3">
        <f>23*310</f>
        <v>7130</v>
      </c>
      <c r="F27" s="10">
        <f t="shared" si="0"/>
        <v>35746</v>
      </c>
      <c r="G27" s="3" t="s">
        <v>65</v>
      </c>
      <c r="H27" s="3"/>
      <c r="I27" s="3"/>
    </row>
    <row r="28" spans="1:9" ht="45.75" customHeight="1" x14ac:dyDescent="0.2">
      <c r="A28" s="7" t="s">
        <v>55</v>
      </c>
      <c r="B28" s="7">
        <v>45225</v>
      </c>
      <c r="C28" s="8" t="s">
        <v>64</v>
      </c>
      <c r="D28" s="9">
        <v>760</v>
      </c>
      <c r="E28" s="9"/>
      <c r="F28" s="10">
        <f t="shared" si="0"/>
        <v>34986</v>
      </c>
      <c r="G28" s="9"/>
      <c r="H28" s="9"/>
      <c r="I28" s="9"/>
    </row>
    <row r="29" spans="1:9" ht="45.75" customHeight="1" x14ac:dyDescent="0.2">
      <c r="A29" s="7" t="s">
        <v>55</v>
      </c>
      <c r="B29" s="1">
        <v>45225</v>
      </c>
      <c r="C29" s="2" t="s">
        <v>66</v>
      </c>
      <c r="D29" s="3">
        <v>750</v>
      </c>
      <c r="E29" s="3"/>
      <c r="F29" s="10">
        <f t="shared" si="0"/>
        <v>34236</v>
      </c>
      <c r="G29" s="3"/>
      <c r="H29" s="3"/>
      <c r="I29" s="3"/>
    </row>
    <row r="30" spans="1:9" ht="45.75" customHeight="1" x14ac:dyDescent="0.2">
      <c r="A30" s="7" t="s">
        <v>55</v>
      </c>
      <c r="B30" s="1">
        <v>45225</v>
      </c>
      <c r="C30" s="8" t="s">
        <v>67</v>
      </c>
      <c r="D30" s="9">
        <v>300</v>
      </c>
      <c r="E30" s="9"/>
      <c r="F30" s="10">
        <f t="shared" si="0"/>
        <v>33936</v>
      </c>
      <c r="G30" s="9"/>
      <c r="H30" s="9"/>
      <c r="I30" s="9"/>
    </row>
    <row r="31" spans="1:9" ht="45.75" customHeight="1" x14ac:dyDescent="0.2">
      <c r="A31" s="7" t="s">
        <v>55</v>
      </c>
      <c r="B31" s="1">
        <v>45225</v>
      </c>
      <c r="C31" s="2" t="s">
        <v>68</v>
      </c>
      <c r="D31" s="3">
        <v>2520</v>
      </c>
      <c r="E31" s="3"/>
      <c r="F31" s="10">
        <f t="shared" si="0"/>
        <v>31416</v>
      </c>
      <c r="G31" s="3"/>
      <c r="H31" s="3"/>
      <c r="I31" s="3"/>
    </row>
    <row r="32" spans="1:9" ht="45.75" customHeight="1" x14ac:dyDescent="0.2">
      <c r="A32" s="7" t="s">
        <v>55</v>
      </c>
      <c r="B32" s="1">
        <v>45225</v>
      </c>
      <c r="C32" s="8" t="s">
        <v>69</v>
      </c>
      <c r="D32" s="9">
        <v>1200</v>
      </c>
      <c r="E32" s="9"/>
      <c r="F32" s="10">
        <f t="shared" si="0"/>
        <v>30216</v>
      </c>
      <c r="G32" s="9"/>
      <c r="H32" s="9"/>
      <c r="I32" s="9"/>
    </row>
    <row r="33" spans="1:9" ht="45.75" customHeight="1" x14ac:dyDescent="0.2">
      <c r="A33" s="7" t="s">
        <v>55</v>
      </c>
      <c r="B33" s="1">
        <v>45225</v>
      </c>
      <c r="C33" s="8" t="s">
        <v>70</v>
      </c>
      <c r="D33" s="9">
        <v>500</v>
      </c>
      <c r="E33" s="9"/>
      <c r="F33" s="10">
        <f t="shared" si="0"/>
        <v>29716</v>
      </c>
      <c r="G33" s="9"/>
      <c r="H33" s="9"/>
      <c r="I33" s="9"/>
    </row>
    <row r="34" spans="1:9" ht="45.75" customHeight="1" x14ac:dyDescent="0.2">
      <c r="A34" s="7" t="s">
        <v>55</v>
      </c>
      <c r="B34" s="1">
        <v>45225</v>
      </c>
      <c r="C34" s="8" t="s">
        <v>15</v>
      </c>
      <c r="D34" s="9">
        <v>205</v>
      </c>
      <c r="E34" s="9"/>
      <c r="F34" s="10">
        <f t="shared" si="0"/>
        <v>29511</v>
      </c>
      <c r="G34" s="9"/>
      <c r="H34" s="9"/>
      <c r="I34" s="9"/>
    </row>
    <row r="35" spans="1:9" ht="45.75" customHeight="1" x14ac:dyDescent="0.2">
      <c r="A35" s="7" t="s">
        <v>55</v>
      </c>
      <c r="B35" s="1">
        <v>45225</v>
      </c>
      <c r="C35" s="8" t="s">
        <v>71</v>
      </c>
      <c r="D35" s="9">
        <v>1850</v>
      </c>
      <c r="E35" s="9"/>
      <c r="F35" s="10">
        <f t="shared" si="0"/>
        <v>27661</v>
      </c>
      <c r="G35" s="9"/>
      <c r="H35" s="9"/>
      <c r="I35" s="9"/>
    </row>
    <row r="36" spans="1:9" ht="45.75" customHeight="1" x14ac:dyDescent="0.2">
      <c r="A36" s="7" t="s">
        <v>55</v>
      </c>
      <c r="B36" s="1">
        <v>45225</v>
      </c>
      <c r="C36" s="8" t="s">
        <v>72</v>
      </c>
      <c r="D36" s="9">
        <v>25950</v>
      </c>
      <c r="E36" s="9"/>
      <c r="F36" s="10">
        <f t="shared" si="0"/>
        <v>1711</v>
      </c>
      <c r="G36" s="9"/>
      <c r="H36" s="9"/>
      <c r="I36" s="9"/>
    </row>
    <row r="37" spans="1:9" ht="45.75" customHeight="1" x14ac:dyDescent="0.2">
      <c r="A37" s="7" t="s">
        <v>73</v>
      </c>
      <c r="B37" s="1">
        <v>45230</v>
      </c>
      <c r="C37" s="2" t="s">
        <v>71</v>
      </c>
      <c r="D37" s="3">
        <f>125+125+45+90+3300</f>
        <v>3685</v>
      </c>
      <c r="E37" s="3"/>
      <c r="F37" s="10">
        <f t="shared" si="0"/>
        <v>-1974</v>
      </c>
      <c r="G37" s="3"/>
      <c r="H37" s="3"/>
      <c r="I37" s="3"/>
    </row>
    <row r="38" spans="1:9" ht="45.75" customHeight="1" x14ac:dyDescent="0.2">
      <c r="A38" s="7" t="s">
        <v>73</v>
      </c>
      <c r="B38" s="1">
        <v>45230</v>
      </c>
      <c r="C38" s="8" t="s">
        <v>74</v>
      </c>
      <c r="D38" s="9">
        <f>79.8*145</f>
        <v>11571</v>
      </c>
      <c r="E38" s="9"/>
      <c r="F38" s="10">
        <f t="shared" si="0"/>
        <v>-13545</v>
      </c>
      <c r="G38" s="9" t="s">
        <v>75</v>
      </c>
      <c r="H38" s="9"/>
      <c r="I38" s="9"/>
    </row>
    <row r="39" spans="1:9" ht="45.75" customHeight="1" x14ac:dyDescent="0.2">
      <c r="A39" s="7" t="s">
        <v>73</v>
      </c>
      <c r="B39" s="7">
        <v>45230</v>
      </c>
      <c r="C39" s="8" t="s">
        <v>76</v>
      </c>
      <c r="D39" s="3">
        <f>153*85</f>
        <v>13005</v>
      </c>
      <c r="E39" s="3"/>
      <c r="F39" s="10">
        <f t="shared" si="0"/>
        <v>-26550</v>
      </c>
      <c r="G39" s="9" t="s">
        <v>75</v>
      </c>
      <c r="H39" s="3"/>
      <c r="I39" s="3"/>
    </row>
    <row r="40" spans="1:9" ht="45.75" customHeight="1" x14ac:dyDescent="0.2">
      <c r="A40" s="7" t="s">
        <v>73</v>
      </c>
      <c r="B40" s="1">
        <v>45230</v>
      </c>
      <c r="C40" s="8" t="s">
        <v>80</v>
      </c>
      <c r="D40" s="9"/>
      <c r="E40" s="9">
        <f>3.7*300</f>
        <v>1110</v>
      </c>
      <c r="F40" s="10">
        <f t="shared" si="0"/>
        <v>-25440</v>
      </c>
      <c r="G40" s="9" t="s">
        <v>75</v>
      </c>
      <c r="H40" s="9"/>
      <c r="I40" s="9"/>
    </row>
    <row r="41" spans="1:9" ht="45.75" customHeight="1" x14ac:dyDescent="0.2">
      <c r="A41" s="7" t="s">
        <v>73</v>
      </c>
      <c r="B41" s="7">
        <v>45230</v>
      </c>
      <c r="C41" s="8" t="s">
        <v>78</v>
      </c>
      <c r="D41" s="9"/>
      <c r="E41" s="9">
        <f>23*80</f>
        <v>1840</v>
      </c>
      <c r="F41" s="10">
        <f t="shared" si="0"/>
        <v>-23600</v>
      </c>
      <c r="G41" s="9" t="s">
        <v>79</v>
      </c>
      <c r="H41" s="9"/>
      <c r="I41" s="9"/>
    </row>
    <row r="42" spans="1:9" ht="45.75" customHeight="1" x14ac:dyDescent="0.2">
      <c r="A42" s="7" t="s">
        <v>73</v>
      </c>
      <c r="B42" s="7">
        <v>45230</v>
      </c>
      <c r="C42" s="2" t="s">
        <v>81</v>
      </c>
      <c r="D42" s="3"/>
      <c r="E42" s="3">
        <v>700</v>
      </c>
      <c r="F42" s="10">
        <f t="shared" si="0"/>
        <v>-22900</v>
      </c>
      <c r="G42" s="3" t="s">
        <v>75</v>
      </c>
      <c r="H42" s="3"/>
      <c r="I42" s="3"/>
    </row>
    <row r="43" spans="1:9" ht="45.75" customHeight="1" x14ac:dyDescent="0.2">
      <c r="A43" s="7" t="s">
        <v>73</v>
      </c>
      <c r="B43" s="7">
        <v>45230</v>
      </c>
      <c r="C43" s="8" t="s">
        <v>82</v>
      </c>
      <c r="D43" s="9"/>
      <c r="E43" s="9">
        <f>5.56*130</f>
        <v>722.8</v>
      </c>
      <c r="F43" s="10">
        <f t="shared" si="0"/>
        <v>-22177.200000000001</v>
      </c>
      <c r="G43" s="9" t="s">
        <v>75</v>
      </c>
      <c r="H43" s="9"/>
      <c r="I43" s="9"/>
    </row>
    <row r="44" spans="1:9" ht="45.75" customHeight="1" x14ac:dyDescent="0.2">
      <c r="A44" s="7" t="s">
        <v>73</v>
      </c>
      <c r="B44" s="7">
        <v>45230</v>
      </c>
      <c r="C44" s="2" t="s">
        <v>83</v>
      </c>
      <c r="D44" s="3"/>
      <c r="E44" s="3">
        <f>12*40</f>
        <v>480</v>
      </c>
      <c r="F44" s="10">
        <f t="shared" si="0"/>
        <v>-21697.200000000001</v>
      </c>
      <c r="G44" s="3" t="s">
        <v>86</v>
      </c>
      <c r="H44" s="3"/>
      <c r="I44" s="3"/>
    </row>
    <row r="45" spans="1:9" ht="45.75" customHeight="1" x14ac:dyDescent="0.2">
      <c r="A45" s="7" t="s">
        <v>73</v>
      </c>
      <c r="B45" s="7">
        <v>45230</v>
      </c>
      <c r="C45" s="8" t="s">
        <v>84</v>
      </c>
      <c r="D45" s="9"/>
      <c r="E45" s="9">
        <f>31*80</f>
        <v>2480</v>
      </c>
      <c r="F45" s="10">
        <f t="shared" si="0"/>
        <v>-19217.2</v>
      </c>
      <c r="G45" s="9" t="s">
        <v>79</v>
      </c>
      <c r="H45" s="9"/>
      <c r="I45" s="9"/>
    </row>
    <row r="46" spans="1:9" ht="45.75" customHeight="1" x14ac:dyDescent="0.2">
      <c r="A46" s="7" t="s">
        <v>73</v>
      </c>
      <c r="B46" s="7">
        <v>45230</v>
      </c>
      <c r="C46" s="2" t="s">
        <v>85</v>
      </c>
      <c r="D46" s="3"/>
      <c r="E46" s="3">
        <f>2.6*135</f>
        <v>351</v>
      </c>
      <c r="F46" s="10">
        <f t="shared" si="0"/>
        <v>-18866.2</v>
      </c>
      <c r="G46" s="3" t="s">
        <v>75</v>
      </c>
      <c r="H46" s="3"/>
      <c r="I46" s="3"/>
    </row>
    <row r="47" spans="1:9" ht="45.75" customHeight="1" x14ac:dyDescent="0.2">
      <c r="A47" s="7" t="s">
        <v>73</v>
      </c>
      <c r="B47" s="7">
        <v>45230</v>
      </c>
      <c r="C47" s="8" t="s">
        <v>87</v>
      </c>
      <c r="D47" s="9"/>
      <c r="E47" s="9">
        <f>1.7*85</f>
        <v>144.5</v>
      </c>
      <c r="F47" s="10">
        <f t="shared" si="0"/>
        <v>-18721.7</v>
      </c>
      <c r="G47" s="9" t="s">
        <v>79</v>
      </c>
      <c r="H47" s="9"/>
      <c r="I47" s="9"/>
    </row>
    <row r="48" spans="1:9" ht="45.75" customHeight="1" x14ac:dyDescent="0.2">
      <c r="A48" s="7" t="s">
        <v>73</v>
      </c>
      <c r="B48" s="7">
        <v>45230</v>
      </c>
      <c r="C48" s="8" t="s">
        <v>88</v>
      </c>
      <c r="D48" s="3"/>
      <c r="E48" s="3">
        <f>0.49*220</f>
        <v>107.8</v>
      </c>
      <c r="F48" s="10">
        <f t="shared" si="0"/>
        <v>-18613.900000000001</v>
      </c>
      <c r="G48" s="3" t="s">
        <v>75</v>
      </c>
      <c r="H48" s="3"/>
      <c r="I48" s="3"/>
    </row>
    <row r="49" spans="1:9" ht="45.75" customHeight="1" x14ac:dyDescent="0.2">
      <c r="A49" s="7" t="s">
        <v>73</v>
      </c>
      <c r="B49" s="7">
        <v>45230</v>
      </c>
      <c r="C49" s="8" t="s">
        <v>89</v>
      </c>
      <c r="D49" s="9"/>
      <c r="E49" s="9">
        <f>1.8*135</f>
        <v>243</v>
      </c>
      <c r="F49" s="10">
        <f t="shared" si="0"/>
        <v>-18370.900000000001</v>
      </c>
      <c r="G49" s="9" t="s">
        <v>75</v>
      </c>
      <c r="H49" s="9"/>
      <c r="I49" s="9"/>
    </row>
    <row r="50" spans="1:9" ht="45.75" customHeight="1" x14ac:dyDescent="0.2">
      <c r="A50" s="7" t="s">
        <v>73</v>
      </c>
      <c r="B50" s="7">
        <v>45230</v>
      </c>
      <c r="C50" s="2" t="s">
        <v>90</v>
      </c>
      <c r="D50" s="3">
        <v>3200</v>
      </c>
      <c r="E50" s="3"/>
      <c r="F50" s="10">
        <f t="shared" si="0"/>
        <v>-21570.9</v>
      </c>
      <c r="G50" s="3"/>
      <c r="H50" s="3"/>
      <c r="I50" s="3"/>
    </row>
    <row r="51" spans="1:9" ht="45.75" customHeight="1" x14ac:dyDescent="0.2">
      <c r="A51" s="7" t="s">
        <v>73</v>
      </c>
      <c r="B51" s="7">
        <v>45230</v>
      </c>
      <c r="C51" s="8" t="s">
        <v>91</v>
      </c>
      <c r="D51" s="9"/>
      <c r="E51" s="9">
        <f>13*150</f>
        <v>1950</v>
      </c>
      <c r="F51" s="10">
        <f t="shared" si="0"/>
        <v>-19620.900000000001</v>
      </c>
      <c r="G51" s="9" t="s">
        <v>79</v>
      </c>
      <c r="H51" s="9"/>
      <c r="I51" s="9"/>
    </row>
    <row r="52" spans="1:9" ht="45.75" customHeight="1" x14ac:dyDescent="0.2">
      <c r="A52" s="7" t="s">
        <v>73</v>
      </c>
      <c r="B52" s="7">
        <v>45230</v>
      </c>
      <c r="C52" s="2" t="s">
        <v>92</v>
      </c>
      <c r="D52" s="3">
        <v>500</v>
      </c>
      <c r="E52" s="3"/>
      <c r="F52" s="10">
        <f t="shared" si="0"/>
        <v>-20120.900000000001</v>
      </c>
      <c r="G52" s="3"/>
      <c r="H52" s="3"/>
      <c r="I52" s="3"/>
    </row>
    <row r="53" spans="1:9" ht="45.75" customHeight="1" x14ac:dyDescent="0.2">
      <c r="A53" s="7" t="s">
        <v>106</v>
      </c>
      <c r="B53" s="7">
        <v>45231</v>
      </c>
      <c r="C53" s="39" t="s">
        <v>107</v>
      </c>
      <c r="D53" s="38">
        <f>71.5*185</f>
        <v>13227.5</v>
      </c>
      <c r="E53" s="38"/>
      <c r="F53" s="10">
        <f t="shared" si="0"/>
        <v>-33348.400000000001</v>
      </c>
      <c r="G53" s="38" t="s">
        <v>75</v>
      </c>
      <c r="H53" s="38"/>
      <c r="I53" s="38"/>
    </row>
    <row r="54" spans="1:9" ht="45.75" customHeight="1" x14ac:dyDescent="0.2">
      <c r="A54" s="7" t="s">
        <v>106</v>
      </c>
      <c r="B54" s="7">
        <v>45231</v>
      </c>
      <c r="C54" s="39" t="s">
        <v>71</v>
      </c>
      <c r="D54" s="38">
        <f>50+125+10+150+1500</f>
        <v>1835</v>
      </c>
      <c r="E54" s="38"/>
      <c r="F54" s="10">
        <f t="shared" si="0"/>
        <v>-35183.4</v>
      </c>
      <c r="G54" s="38"/>
      <c r="H54" s="38"/>
      <c r="I54" s="38"/>
    </row>
    <row r="55" spans="1:9" ht="45.75" customHeight="1" x14ac:dyDescent="0.2">
      <c r="A55" s="7" t="s">
        <v>106</v>
      </c>
      <c r="B55" s="7">
        <v>45231</v>
      </c>
      <c r="C55" s="39" t="s">
        <v>108</v>
      </c>
      <c r="D55" s="38">
        <v>400</v>
      </c>
      <c r="E55" s="38"/>
      <c r="F55" s="10">
        <f t="shared" si="0"/>
        <v>-35583.4</v>
      </c>
      <c r="G55" s="38"/>
      <c r="H55" s="38"/>
      <c r="I55" s="38"/>
    </row>
    <row r="56" spans="1:9" ht="45.75" customHeight="1" x14ac:dyDescent="0.2">
      <c r="A56" s="7" t="s">
        <v>106</v>
      </c>
      <c r="B56" s="7">
        <v>45231</v>
      </c>
      <c r="C56" s="39" t="s">
        <v>15</v>
      </c>
      <c r="D56" s="38">
        <v>205</v>
      </c>
      <c r="E56" s="38"/>
      <c r="F56" s="10">
        <f t="shared" si="0"/>
        <v>-35788.400000000001</v>
      </c>
      <c r="G56" s="38"/>
      <c r="H56" s="38"/>
      <c r="I56" s="38"/>
    </row>
    <row r="57" spans="1:9" ht="45.75" customHeight="1" x14ac:dyDescent="0.2">
      <c r="A57" s="7" t="s">
        <v>106</v>
      </c>
      <c r="B57" s="7">
        <v>45231</v>
      </c>
      <c r="C57" s="39" t="s">
        <v>112</v>
      </c>
      <c r="D57" s="38">
        <f>69*155</f>
        <v>10695</v>
      </c>
      <c r="E57" s="38"/>
      <c r="F57" s="10">
        <f t="shared" si="0"/>
        <v>-46483.4</v>
      </c>
      <c r="G57" s="38"/>
      <c r="H57" s="38"/>
      <c r="I57" s="38"/>
    </row>
    <row r="58" spans="1:9" ht="45.75" customHeight="1" x14ac:dyDescent="0.2">
      <c r="A58" s="7" t="s">
        <v>106</v>
      </c>
      <c r="B58" s="7">
        <v>45231</v>
      </c>
      <c r="C58" s="39" t="s">
        <v>71</v>
      </c>
      <c r="D58" s="38">
        <f>125+10+30+1500+150+20</f>
        <v>1835</v>
      </c>
      <c r="E58" s="38"/>
      <c r="F58" s="10">
        <f t="shared" si="0"/>
        <v>-48318.400000000001</v>
      </c>
      <c r="G58" s="38"/>
      <c r="H58" s="38"/>
      <c r="I58" s="38"/>
    </row>
    <row r="59" spans="1:9" ht="45.75" customHeight="1" x14ac:dyDescent="0.2">
      <c r="A59" s="7" t="s">
        <v>106</v>
      </c>
      <c r="B59" s="7">
        <v>45231</v>
      </c>
      <c r="C59" s="39" t="s">
        <v>113</v>
      </c>
      <c r="D59" s="38"/>
      <c r="E59" s="38">
        <f>105*200</f>
        <v>21000</v>
      </c>
      <c r="F59" s="10">
        <f t="shared" si="0"/>
        <v>-27318.400000000001</v>
      </c>
      <c r="G59" s="38"/>
      <c r="H59" s="38"/>
      <c r="I59" s="38"/>
    </row>
    <row r="60" spans="1:9" ht="45.75" customHeight="1" x14ac:dyDescent="0.2">
      <c r="A60" s="7" t="s">
        <v>106</v>
      </c>
      <c r="B60" s="7">
        <v>45231</v>
      </c>
      <c r="C60" s="39" t="s">
        <v>114</v>
      </c>
      <c r="D60" s="38"/>
      <c r="E60" s="38">
        <f>65*135</f>
        <v>8775</v>
      </c>
      <c r="F60" s="10">
        <f t="shared" si="0"/>
        <v>-18543.400000000001</v>
      </c>
      <c r="G60" s="38"/>
      <c r="H60" s="38"/>
      <c r="I60" s="38"/>
    </row>
    <row r="61" spans="1:9" ht="45.75" customHeight="1" x14ac:dyDescent="0.2">
      <c r="A61" s="7" t="s">
        <v>106</v>
      </c>
      <c r="B61" s="7">
        <v>45231</v>
      </c>
      <c r="C61" s="39" t="s">
        <v>115</v>
      </c>
      <c r="D61" s="38"/>
      <c r="E61" s="38">
        <v>2800</v>
      </c>
      <c r="F61" s="10">
        <f t="shared" si="0"/>
        <v>-15743.400000000001</v>
      </c>
      <c r="G61" s="38"/>
      <c r="H61" s="38"/>
      <c r="I61" s="38"/>
    </row>
    <row r="62" spans="1:9" ht="45.75" customHeight="1" x14ac:dyDescent="0.2">
      <c r="A62" s="7" t="s">
        <v>106</v>
      </c>
      <c r="B62" s="7">
        <v>45231</v>
      </c>
      <c r="C62" s="39" t="s">
        <v>116</v>
      </c>
      <c r="D62" s="38"/>
      <c r="E62" s="38">
        <f>10*180</f>
        <v>1800</v>
      </c>
      <c r="F62" s="10">
        <f t="shared" si="0"/>
        <v>-13943.400000000001</v>
      </c>
      <c r="G62" s="38"/>
      <c r="H62" s="38"/>
      <c r="I62" s="38"/>
    </row>
    <row r="63" spans="1:9" ht="45.75" customHeight="1" x14ac:dyDescent="0.2">
      <c r="A63" s="7" t="s">
        <v>106</v>
      </c>
      <c r="B63" s="7">
        <v>45231</v>
      </c>
      <c r="C63" s="39" t="s">
        <v>117</v>
      </c>
      <c r="D63" s="38">
        <v>1100</v>
      </c>
      <c r="E63" s="38"/>
      <c r="F63" s="10">
        <f t="shared" si="0"/>
        <v>-15043.400000000001</v>
      </c>
      <c r="G63" s="38"/>
      <c r="H63" s="38"/>
      <c r="I63" s="38"/>
    </row>
    <row r="64" spans="1:9" ht="45.75" customHeight="1" x14ac:dyDescent="0.2">
      <c r="A64" s="7" t="s">
        <v>106</v>
      </c>
      <c r="B64" s="7">
        <v>45231</v>
      </c>
      <c r="C64" s="39" t="s">
        <v>118</v>
      </c>
      <c r="D64" s="38"/>
      <c r="E64" s="38">
        <f>1950+600</f>
        <v>2550</v>
      </c>
      <c r="F64" s="10">
        <f t="shared" si="0"/>
        <v>-12493.400000000001</v>
      </c>
      <c r="G64" s="38"/>
      <c r="H64" s="38"/>
      <c r="I64" s="38"/>
    </row>
    <row r="65" spans="1:9" ht="45.75" customHeight="1" x14ac:dyDescent="0.2">
      <c r="A65" s="7" t="s">
        <v>106</v>
      </c>
      <c r="B65" s="7">
        <v>45231</v>
      </c>
      <c r="C65" s="39" t="s">
        <v>119</v>
      </c>
      <c r="D65" s="38"/>
      <c r="E65" s="38">
        <v>1850</v>
      </c>
      <c r="F65" s="10">
        <f t="shared" si="0"/>
        <v>-10643.400000000001</v>
      </c>
      <c r="G65" s="38"/>
      <c r="H65" s="38"/>
      <c r="I65" s="38"/>
    </row>
    <row r="66" spans="1:9" ht="45.75" customHeight="1" x14ac:dyDescent="0.2">
      <c r="A66" s="7" t="s">
        <v>106</v>
      </c>
      <c r="B66" s="7">
        <v>45231</v>
      </c>
      <c r="C66" s="39" t="s">
        <v>120</v>
      </c>
      <c r="D66" s="38">
        <v>1250</v>
      </c>
      <c r="E66" s="38"/>
      <c r="F66" s="10">
        <f t="shared" si="0"/>
        <v>-11893.400000000001</v>
      </c>
      <c r="G66" s="38"/>
      <c r="H66" s="38"/>
      <c r="I66" s="38"/>
    </row>
    <row r="67" spans="1:9" ht="45.75" customHeight="1" x14ac:dyDescent="0.2">
      <c r="A67" s="7"/>
      <c r="B67" s="7"/>
      <c r="C67" s="39"/>
      <c r="D67" s="38"/>
      <c r="E67" s="38"/>
      <c r="F67" s="10">
        <f t="shared" si="0"/>
        <v>-11893.400000000001</v>
      </c>
      <c r="G67" s="38"/>
      <c r="H67" s="38"/>
      <c r="I67" s="38"/>
    </row>
    <row r="68" spans="1:9" ht="45.75" customHeight="1" x14ac:dyDescent="0.2">
      <c r="A68" s="7"/>
      <c r="B68" s="7"/>
      <c r="C68" s="39"/>
      <c r="D68" s="38"/>
      <c r="E68" s="38"/>
      <c r="F68" s="10">
        <f t="shared" si="0"/>
        <v>-11893.400000000001</v>
      </c>
      <c r="G68" s="38"/>
      <c r="H68" s="38"/>
      <c r="I68" s="38"/>
    </row>
    <row r="69" spans="1:9" ht="45.75" customHeight="1" x14ac:dyDescent="0.2">
      <c r="A69" s="7"/>
      <c r="B69" s="7"/>
      <c r="C69" s="39"/>
      <c r="D69" s="38"/>
      <c r="E69" s="38"/>
      <c r="F69" s="10">
        <f t="shared" ref="F69:F70" si="1">F68+E69-D69</f>
        <v>-11893.400000000001</v>
      </c>
      <c r="G69" s="38"/>
      <c r="H69" s="38"/>
      <c r="I69" s="38"/>
    </row>
    <row r="70" spans="1:9" ht="45.75" customHeight="1" x14ac:dyDescent="0.2">
      <c r="A70" s="7"/>
      <c r="B70" s="7"/>
      <c r="C70" s="39"/>
      <c r="D70" s="38"/>
      <c r="E70" s="38"/>
      <c r="F70" s="10">
        <f t="shared" si="1"/>
        <v>-11893.400000000001</v>
      </c>
      <c r="G70" s="38"/>
      <c r="H70" s="38"/>
      <c r="I70" s="38"/>
    </row>
    <row r="71" spans="1:9" ht="30" x14ac:dyDescent="0.4">
      <c r="A71" s="66" t="s">
        <v>53</v>
      </c>
      <c r="B71" s="66"/>
      <c r="C71" s="67"/>
      <c r="D71" s="37"/>
      <c r="E71" s="37"/>
      <c r="F71" s="37">
        <f>D71-E71</f>
        <v>0</v>
      </c>
    </row>
  </sheetData>
  <autoFilter ref="A2:I71" xr:uid="{00000000-0009-0000-0000-000000000000}"/>
  <mergeCells count="1">
    <mergeCell ref="A71:C71"/>
  </mergeCells>
  <conditionalFormatting sqref="G2">
    <cfRule type="cellIs" dxfId="5" priority="3" operator="equal">
      <formula>#REF!</formula>
    </cfRule>
  </conditionalFormatting>
  <conditionalFormatting sqref="G3:G4">
    <cfRule type="cellIs" dxfId="4" priority="2" operator="equal">
      <formula>#REF!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scale="1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3"/>
  <sheetViews>
    <sheetView showGridLines="0" rightToLeft="1" workbookViewId="0">
      <selection activeCell="C20" sqref="C20"/>
    </sheetView>
  </sheetViews>
  <sheetFormatPr defaultRowHeight="14.25" x14ac:dyDescent="0.2"/>
  <cols>
    <col min="1" max="5" width="32" customWidth="1"/>
  </cols>
  <sheetData>
    <row r="1" spans="1:5" ht="15" thickBot="1" x14ac:dyDescent="0.25"/>
    <row r="2" spans="1:5" ht="42" customHeight="1" thickTop="1" x14ac:dyDescent="0.2">
      <c r="A2" s="21" t="str">
        <f>[1]ADD!F3</f>
        <v>اســــم الصـــنــف</v>
      </c>
      <c r="B2" s="23" t="s">
        <v>54</v>
      </c>
      <c r="C2" s="22"/>
      <c r="D2" s="24" t="s">
        <v>49</v>
      </c>
      <c r="E2" s="20"/>
    </row>
    <row r="3" spans="1:5" ht="33" customHeight="1" x14ac:dyDescent="0.25">
      <c r="A3" s="25" t="str">
        <f>[1]ADD!F4</f>
        <v>منيا فص 2سم</v>
      </c>
      <c r="B3" s="26" t="s">
        <v>31</v>
      </c>
      <c r="C3" s="27" t="s">
        <v>32</v>
      </c>
      <c r="D3" s="29">
        <f>104.69*103</f>
        <v>10783.07</v>
      </c>
      <c r="E3" s="28" t="s">
        <v>50</v>
      </c>
    </row>
    <row r="4" spans="1:5" ht="33" customHeight="1" x14ac:dyDescent="0.25">
      <c r="A4" s="25" t="str">
        <f>[1]ADD!F5</f>
        <v>منيا فص 4 سم</v>
      </c>
      <c r="B4" s="26">
        <f>1.9*3*11</f>
        <v>62.699999999999989</v>
      </c>
      <c r="C4" s="27" t="s">
        <v>33</v>
      </c>
      <c r="D4" s="29">
        <f>62.7*185</f>
        <v>11599.5</v>
      </c>
      <c r="E4" s="28" t="s">
        <v>50</v>
      </c>
    </row>
    <row r="5" spans="1:5" ht="33" customHeight="1" x14ac:dyDescent="0.25">
      <c r="A5" s="25" t="str">
        <f>[1]ADD!F6</f>
        <v>منيا فص 4 سم</v>
      </c>
      <c r="B5" s="26">
        <f>2*3*12</f>
        <v>72</v>
      </c>
      <c r="C5" s="27" t="s">
        <v>34</v>
      </c>
      <c r="D5" s="29">
        <f>72*166</f>
        <v>11952</v>
      </c>
      <c r="E5" s="28" t="s">
        <v>50</v>
      </c>
    </row>
    <row r="6" spans="1:5" ht="33" customHeight="1" x14ac:dyDescent="0.25">
      <c r="A6" s="25" t="str">
        <f>[1]ADD!F7</f>
        <v>منيا فص 2سم</v>
      </c>
      <c r="B6" s="26">
        <f>2.1*3.1*9</f>
        <v>58.59</v>
      </c>
      <c r="C6" s="27" t="s">
        <v>35</v>
      </c>
      <c r="D6" s="29">
        <f>58.59*101</f>
        <v>5917.59</v>
      </c>
      <c r="E6" s="28" t="s">
        <v>50</v>
      </c>
    </row>
    <row r="7" spans="1:5" ht="33" customHeight="1" x14ac:dyDescent="0.25">
      <c r="A7" s="25" t="str">
        <f>[1]ADD!F8</f>
        <v>نيو حلايب 2سم</v>
      </c>
      <c r="B7" s="26">
        <f>2.6*0.6*26</f>
        <v>40.56</v>
      </c>
      <c r="C7" s="27" t="s">
        <v>36</v>
      </c>
      <c r="D7" s="29">
        <f>313*40.56</f>
        <v>12695.28</v>
      </c>
      <c r="E7" s="28" t="s">
        <v>50</v>
      </c>
    </row>
    <row r="8" spans="1:5" ht="33" customHeight="1" x14ac:dyDescent="0.25">
      <c r="A8" s="25" t="str">
        <f>[1]ADD!F9</f>
        <v xml:space="preserve">سلفيا 2سم </v>
      </c>
      <c r="B8" s="26">
        <f>2.1*3.1*22</f>
        <v>143.22000000000003</v>
      </c>
      <c r="C8" s="27" t="s">
        <v>37</v>
      </c>
      <c r="D8" s="29">
        <f>138*143.22</f>
        <v>19764.36</v>
      </c>
      <c r="E8" s="28" t="s">
        <v>50</v>
      </c>
    </row>
    <row r="9" spans="1:5" ht="33" customHeight="1" x14ac:dyDescent="0.25">
      <c r="A9" s="25" t="str">
        <f>[1]ADD!F10</f>
        <v>برتولو جولد 2سم</v>
      </c>
      <c r="B9" s="26">
        <f>2.4*1.8*2</f>
        <v>8.64</v>
      </c>
      <c r="C9" s="27" t="s">
        <v>38</v>
      </c>
      <c r="D9" s="29">
        <f>3224*8.64</f>
        <v>27855.360000000001</v>
      </c>
      <c r="E9" s="28" t="s">
        <v>50</v>
      </c>
    </row>
    <row r="10" spans="1:5" ht="33" customHeight="1" x14ac:dyDescent="0.25">
      <c r="A10" s="25" t="str">
        <f>[1]ADD!F11</f>
        <v xml:space="preserve">احمر اسواني 2سم </v>
      </c>
      <c r="B10" s="26">
        <f>2.8*0.8*8</f>
        <v>17.919999999999998</v>
      </c>
      <c r="C10" s="27" t="s">
        <v>39</v>
      </c>
      <c r="D10" s="29">
        <f>348*17.92</f>
        <v>6236.1600000000008</v>
      </c>
      <c r="E10" s="28" t="s">
        <v>50</v>
      </c>
    </row>
    <row r="11" spans="1:5" ht="33" customHeight="1" x14ac:dyDescent="0.25">
      <c r="A11" s="25" t="str">
        <f>[1]ADD!F12</f>
        <v>فيردي 2سم</v>
      </c>
      <c r="B11" s="26">
        <f>3*0.6*12</f>
        <v>21.599999999999998</v>
      </c>
      <c r="C11" s="27" t="s">
        <v>40</v>
      </c>
      <c r="D11" s="29">
        <f>378*21.6</f>
        <v>8164.8</v>
      </c>
      <c r="E11" s="28" t="s">
        <v>50</v>
      </c>
    </row>
    <row r="12" spans="1:5" ht="33" customHeight="1" x14ac:dyDescent="0.25">
      <c r="A12" s="25" t="str">
        <f>[1]ADD!F13</f>
        <v>فيردي 2سم</v>
      </c>
      <c r="B12" s="26">
        <f>3.2*0.8*8</f>
        <v>20.480000000000004</v>
      </c>
      <c r="C12" s="27" t="s">
        <v>41</v>
      </c>
      <c r="D12" s="29">
        <f>385*20.48</f>
        <v>7884.8</v>
      </c>
      <c r="E12" s="28" t="s">
        <v>50</v>
      </c>
    </row>
    <row r="13" spans="1:5" ht="33" customHeight="1" x14ac:dyDescent="0.25">
      <c r="A13" s="30" t="str">
        <f>[1]ADD!F14</f>
        <v>نيو حلايب 2سم</v>
      </c>
      <c r="B13" s="26">
        <v>5</v>
      </c>
      <c r="C13" s="26" t="s">
        <v>42</v>
      </c>
      <c r="D13" s="29">
        <f>5*225</f>
        <v>1125</v>
      </c>
      <c r="E13" s="28" t="s">
        <v>50</v>
      </c>
    </row>
    <row r="14" spans="1:5" ht="33" customHeight="1" x14ac:dyDescent="0.25">
      <c r="A14" s="25" t="str">
        <f>[1]ADD!F15</f>
        <v>نيو حلايب 2سم</v>
      </c>
      <c r="B14" s="26">
        <v>36</v>
      </c>
      <c r="C14" s="26" t="s">
        <v>43</v>
      </c>
      <c r="D14" s="29">
        <f>220*36</f>
        <v>7920</v>
      </c>
      <c r="E14" s="28" t="s">
        <v>50</v>
      </c>
    </row>
    <row r="15" spans="1:5" ht="33" customHeight="1" x14ac:dyDescent="0.25">
      <c r="A15" s="25" t="str">
        <f>[1]ADD!F16</f>
        <v xml:space="preserve">فرسان 2سم </v>
      </c>
      <c r="B15" s="26">
        <v>40</v>
      </c>
      <c r="C15" s="26" t="s">
        <v>44</v>
      </c>
      <c r="D15" s="29">
        <f>230*40</f>
        <v>9200</v>
      </c>
      <c r="E15" s="28" t="s">
        <v>50</v>
      </c>
    </row>
    <row r="16" spans="1:5" ht="33" customHeight="1" x14ac:dyDescent="0.25">
      <c r="A16" s="25" t="str">
        <f>[1]ADD!F17</f>
        <v>رويل 2سم</v>
      </c>
      <c r="B16" s="26">
        <v>15.5</v>
      </c>
      <c r="C16" s="26" t="s">
        <v>45</v>
      </c>
      <c r="D16" s="29">
        <f>290*16</f>
        <v>4640</v>
      </c>
      <c r="E16" s="28" t="s">
        <v>50</v>
      </c>
    </row>
    <row r="17" spans="1:5" ht="33" customHeight="1" x14ac:dyDescent="0.25">
      <c r="A17" s="25" t="str">
        <f>[1]ADD!F18</f>
        <v>سفاجا 2سم</v>
      </c>
      <c r="B17" s="26">
        <v>25</v>
      </c>
      <c r="C17" s="26" t="s">
        <v>46</v>
      </c>
      <c r="D17" s="29">
        <f>240*25</f>
        <v>6000</v>
      </c>
      <c r="E17" s="28" t="s">
        <v>50</v>
      </c>
    </row>
    <row r="18" spans="1:5" ht="33" customHeight="1" x14ac:dyDescent="0.25">
      <c r="A18" s="25" t="str">
        <f>[1]ADD!F19</f>
        <v>منيا فص 4 سم</v>
      </c>
      <c r="B18" s="26">
        <v>53</v>
      </c>
      <c r="C18" s="26" t="s">
        <v>47</v>
      </c>
      <c r="D18" s="29">
        <f>135*53</f>
        <v>7155</v>
      </c>
      <c r="E18" s="28" t="s">
        <v>50</v>
      </c>
    </row>
    <row r="19" spans="1:5" ht="33" customHeight="1" x14ac:dyDescent="0.25">
      <c r="A19" s="25" t="str">
        <f>[1]ADD!F20</f>
        <v>منيا فص 2سم</v>
      </c>
      <c r="B19" s="26">
        <v>168</v>
      </c>
      <c r="C19" s="26" t="s">
        <v>48</v>
      </c>
      <c r="D19" s="29">
        <f>85*168</f>
        <v>14280</v>
      </c>
      <c r="E19" s="28" t="s">
        <v>50</v>
      </c>
    </row>
    <row r="20" spans="1:5" ht="33" customHeight="1" x14ac:dyDescent="0.25">
      <c r="A20" s="28"/>
      <c r="B20" s="28"/>
      <c r="C20" s="28"/>
      <c r="D20" s="31">
        <v>14270</v>
      </c>
      <c r="E20" s="28" t="s">
        <v>51</v>
      </c>
    </row>
    <row r="21" spans="1:5" ht="18" x14ac:dyDescent="0.25">
      <c r="A21" s="28"/>
      <c r="B21" s="28"/>
      <c r="C21" s="28"/>
      <c r="D21" s="32">
        <v>105000</v>
      </c>
      <c r="E21" s="33" t="s">
        <v>52</v>
      </c>
    </row>
    <row r="22" spans="1:5" x14ac:dyDescent="0.2">
      <c r="A22" s="68" t="s">
        <v>53</v>
      </c>
      <c r="B22" s="69"/>
      <c r="C22" s="74"/>
      <c r="D22" s="72">
        <f>SUM(D3:D21)</f>
        <v>292442.92000000004</v>
      </c>
      <c r="E22" s="74"/>
    </row>
    <row r="23" spans="1:5" x14ac:dyDescent="0.2">
      <c r="A23" s="70"/>
      <c r="B23" s="71"/>
      <c r="C23" s="75"/>
      <c r="D23" s="73"/>
      <c r="E23" s="75"/>
    </row>
  </sheetData>
  <mergeCells count="4">
    <mergeCell ref="A22:B23"/>
    <mergeCell ref="D22:D23"/>
    <mergeCell ref="C22:C23"/>
    <mergeCell ref="E22:E23"/>
  </mergeCells>
  <conditionalFormatting sqref="A3:B12">
    <cfRule type="expression" dxfId="3" priority="7">
      <formula>IF(AND($C2&lt;&gt;"",MOD(ROW(),2)=1),1,0)</formula>
    </cfRule>
    <cfRule type="expression" dxfId="2" priority="8">
      <formula>IF(AND($C2&lt;&gt;"",MOD(ROW(),2)=0),1,0)</formula>
    </cfRule>
  </conditionalFormatting>
  <conditionalFormatting sqref="A13:C19">
    <cfRule type="expression" dxfId="1" priority="1">
      <formula>IF(AND($C12&lt;&gt;"",MOD(ROW(),2)=1),1,0)</formula>
    </cfRule>
    <cfRule type="expression" dxfId="0" priority="2">
      <formula>IF(AND($C12&lt;&gt;"",MOD(ROW(),2)=0),1,0)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scale="72" orientation="landscape" r:id="rId1"/>
  <ignoredErrors>
    <ignoredError sqref="B4:B12 A2:A1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512EE-A9F2-473D-815E-580F7AD7B9EA}">
  <sheetPr>
    <pageSetUpPr fitToPage="1"/>
  </sheetPr>
  <dimension ref="A1:O36"/>
  <sheetViews>
    <sheetView showGridLines="0" rightToLeft="1" topLeftCell="B34" workbookViewId="0">
      <selection activeCell="G36" sqref="G36"/>
    </sheetView>
  </sheetViews>
  <sheetFormatPr defaultRowHeight="14.25" x14ac:dyDescent="0.2"/>
  <cols>
    <col min="1" max="1" width="14.875" bestFit="1" customWidth="1"/>
    <col min="2" max="2" width="13.625" bestFit="1" customWidth="1"/>
    <col min="3" max="3" width="17.125" bestFit="1" customWidth="1"/>
    <col min="4" max="4" width="14.125" bestFit="1" customWidth="1"/>
    <col min="5" max="5" width="16" bestFit="1" customWidth="1"/>
    <col min="6" max="6" width="19.625" bestFit="1" customWidth="1"/>
    <col min="7" max="7" width="20.875" bestFit="1" customWidth="1"/>
    <col min="8" max="8" width="17.125" bestFit="1" customWidth="1"/>
    <col min="9" max="9" width="14.875" bestFit="1" customWidth="1"/>
    <col min="10" max="10" width="15.25" bestFit="1" customWidth="1"/>
    <col min="11" max="11" width="19.625" bestFit="1" customWidth="1"/>
    <col min="12" max="12" width="14.125" bestFit="1" customWidth="1"/>
    <col min="14" max="14" width="14.875" bestFit="1" customWidth="1"/>
    <col min="15" max="15" width="11.625" bestFit="1" customWidth="1"/>
    <col min="17" max="17" width="10.625" bestFit="1" customWidth="1"/>
  </cols>
  <sheetData>
    <row r="1" spans="1:14" x14ac:dyDescent="0.2">
      <c r="E1" s="76" t="s">
        <v>111</v>
      </c>
      <c r="F1" s="76"/>
      <c r="G1" s="76"/>
      <c r="H1" s="76"/>
      <c r="I1" s="76"/>
      <c r="J1" s="76"/>
    </row>
    <row r="2" spans="1:14" x14ac:dyDescent="0.2">
      <c r="E2" s="76"/>
      <c r="F2" s="76"/>
      <c r="G2" s="76"/>
      <c r="H2" s="76"/>
      <c r="I2" s="76"/>
      <c r="J2" s="76"/>
    </row>
    <row r="3" spans="1:14" x14ac:dyDescent="0.2">
      <c r="E3" s="76"/>
      <c r="F3" s="76"/>
      <c r="G3" s="76"/>
      <c r="H3" s="76"/>
      <c r="I3" s="76"/>
      <c r="J3" s="76"/>
    </row>
    <row r="4" spans="1:14" ht="32.25" customHeight="1" x14ac:dyDescent="0.2">
      <c r="A4" s="42" t="str">
        <f>[2]STORE!D5</f>
        <v xml:space="preserve">اسم الصنف </v>
      </c>
      <c r="B4" s="42" t="s">
        <v>95</v>
      </c>
      <c r="C4" s="42" t="s">
        <v>94</v>
      </c>
      <c r="D4" s="42" t="s">
        <v>96</v>
      </c>
      <c r="E4" s="43"/>
      <c r="F4" s="42" t="str">
        <f t="shared" ref="F4:F29" si="0">A4</f>
        <v xml:space="preserve">اسم الصنف </v>
      </c>
      <c r="G4" s="42" t="s">
        <v>93</v>
      </c>
      <c r="H4" s="42" t="s">
        <v>94</v>
      </c>
      <c r="I4" s="42" t="s">
        <v>96</v>
      </c>
      <c r="J4" s="43"/>
      <c r="K4" s="42" t="str">
        <f t="shared" ref="K4:K29" si="1">F4</f>
        <v xml:space="preserve">اسم الصنف </v>
      </c>
      <c r="L4" s="42" t="s">
        <v>104</v>
      </c>
      <c r="M4" s="42" t="s">
        <v>105</v>
      </c>
      <c r="N4" s="42" t="s">
        <v>110</v>
      </c>
    </row>
    <row r="5" spans="1:14" s="41" customFormat="1" ht="21" customHeight="1" x14ac:dyDescent="0.2">
      <c r="A5" s="40" t="str">
        <f>[2]STORE!D6</f>
        <v>منيا فص 2سم</v>
      </c>
      <c r="B5" s="40">
        <f>[2]STORE!H6</f>
        <v>483.6</v>
      </c>
      <c r="C5" s="44">
        <v>85</v>
      </c>
      <c r="D5" s="45">
        <f>C5*B5</f>
        <v>41106</v>
      </c>
      <c r="F5" s="40" t="str">
        <f t="shared" si="0"/>
        <v>منيا فص 2سم</v>
      </c>
      <c r="G5" s="40">
        <f>[2]STORE!L6</f>
        <v>332.6</v>
      </c>
      <c r="H5" s="44">
        <v>85</v>
      </c>
      <c r="I5" s="45">
        <f>H5*G5</f>
        <v>28271.000000000004</v>
      </c>
      <c r="K5" s="40" t="str">
        <f t="shared" si="1"/>
        <v>منيا فص 2سم</v>
      </c>
      <c r="L5" s="40">
        <f>[2]STORE!J6</f>
        <v>151</v>
      </c>
      <c r="M5" s="44">
        <v>135</v>
      </c>
      <c r="N5" s="44">
        <f>M5*L5</f>
        <v>20385</v>
      </c>
    </row>
    <row r="6" spans="1:14" s="41" customFormat="1" ht="21" customHeight="1" x14ac:dyDescent="0.2">
      <c r="A6" s="40" t="str">
        <f>[2]STORE!D7</f>
        <v>منيا فص 4 سم</v>
      </c>
      <c r="B6" s="40">
        <f>[2]STORE!H7</f>
        <v>267</v>
      </c>
      <c r="C6" s="44">
        <v>155</v>
      </c>
      <c r="D6" s="45">
        <f t="shared" ref="D6:D29" si="2">C6*B6</f>
        <v>41385</v>
      </c>
      <c r="F6" s="40" t="str">
        <f t="shared" si="0"/>
        <v>منيا فص 4 سم</v>
      </c>
      <c r="G6" s="40">
        <f>[2]STORE!L7</f>
        <v>209</v>
      </c>
      <c r="H6" s="44">
        <v>155</v>
      </c>
      <c r="I6" s="45">
        <f t="shared" ref="I6:I29" si="3">H6*G6</f>
        <v>32395</v>
      </c>
      <c r="K6" s="40" t="str">
        <f t="shared" si="1"/>
        <v>منيا فص 4 سم</v>
      </c>
      <c r="L6" s="40">
        <f>[2]STORE!J7</f>
        <v>58</v>
      </c>
      <c r="M6" s="44">
        <v>200</v>
      </c>
      <c r="N6" s="44">
        <f t="shared" ref="N6:N29" si="4">M6*L6</f>
        <v>11600</v>
      </c>
    </row>
    <row r="7" spans="1:14" s="41" customFormat="1" ht="21" customHeight="1" x14ac:dyDescent="0.2">
      <c r="A7" s="40" t="str">
        <f>[2]STORE!D8</f>
        <v xml:space="preserve">سلفيا 2سم </v>
      </c>
      <c r="B7" s="40">
        <f>[2]STORE!H8</f>
        <v>143</v>
      </c>
      <c r="C7" s="44">
        <v>125</v>
      </c>
      <c r="D7" s="45">
        <f t="shared" si="2"/>
        <v>17875</v>
      </c>
      <c r="F7" s="40" t="str">
        <f t="shared" si="0"/>
        <v xml:space="preserve">سلفيا 2سم </v>
      </c>
      <c r="G7" s="40">
        <f>[2]STORE!L8</f>
        <v>141</v>
      </c>
      <c r="H7" s="44">
        <v>125</v>
      </c>
      <c r="I7" s="45">
        <f t="shared" si="3"/>
        <v>17625</v>
      </c>
      <c r="K7" s="40" t="str">
        <f t="shared" si="1"/>
        <v xml:space="preserve">سلفيا 2سم </v>
      </c>
      <c r="L7" s="40">
        <f>[2]STORE!J8</f>
        <v>2</v>
      </c>
      <c r="M7" s="44">
        <v>185</v>
      </c>
      <c r="N7" s="44">
        <f t="shared" si="4"/>
        <v>370</v>
      </c>
    </row>
    <row r="8" spans="1:14" s="41" customFormat="1" ht="21" customHeight="1" x14ac:dyDescent="0.2">
      <c r="A8" s="40" t="str">
        <f>[2]STORE!D9</f>
        <v>سلفيا 4 سم</v>
      </c>
      <c r="B8" s="40">
        <f>[2]STORE!H9</f>
        <v>0</v>
      </c>
      <c r="C8" s="44">
        <v>0</v>
      </c>
      <c r="D8" s="45">
        <f t="shared" si="2"/>
        <v>0</v>
      </c>
      <c r="F8" s="40" t="str">
        <f t="shared" si="0"/>
        <v>سلفيا 4 سم</v>
      </c>
      <c r="G8" s="40">
        <f>[2]STORE!L9</f>
        <v>0</v>
      </c>
      <c r="H8" s="44">
        <v>0</v>
      </c>
      <c r="I8" s="45">
        <f t="shared" si="3"/>
        <v>0</v>
      </c>
      <c r="K8" s="40" t="str">
        <f t="shared" si="1"/>
        <v>سلفيا 4 سم</v>
      </c>
      <c r="L8" s="40">
        <f>[2]STORE!J9</f>
        <v>0</v>
      </c>
      <c r="M8" s="44">
        <v>0</v>
      </c>
      <c r="N8" s="44">
        <f t="shared" si="4"/>
        <v>0</v>
      </c>
    </row>
    <row r="9" spans="1:14" s="41" customFormat="1" ht="21" customHeight="1" x14ac:dyDescent="0.2">
      <c r="A9" s="40" t="str">
        <f>[2]STORE!D10</f>
        <v>نيو حلايب 2سم</v>
      </c>
      <c r="B9" s="40">
        <f>[2]STORE!H10</f>
        <v>149.79000000000002</v>
      </c>
      <c r="C9" s="44">
        <v>225</v>
      </c>
      <c r="D9" s="45">
        <f t="shared" si="2"/>
        <v>33702.750000000007</v>
      </c>
      <c r="F9" s="40" t="str">
        <f t="shared" si="0"/>
        <v>نيو حلايب 2سم</v>
      </c>
      <c r="G9" s="40">
        <f>[2]STORE!L10</f>
        <v>90.79000000000002</v>
      </c>
      <c r="H9" s="44">
        <v>225</v>
      </c>
      <c r="I9" s="45">
        <f t="shared" si="3"/>
        <v>20427.750000000004</v>
      </c>
      <c r="K9" s="40" t="str">
        <f t="shared" si="1"/>
        <v>نيو حلايب 2سم</v>
      </c>
      <c r="L9" s="40">
        <f>[2]STORE!J10</f>
        <v>59</v>
      </c>
      <c r="M9" s="44">
        <v>310</v>
      </c>
      <c r="N9" s="44">
        <f t="shared" si="4"/>
        <v>18290</v>
      </c>
    </row>
    <row r="10" spans="1:14" s="41" customFormat="1" ht="21" customHeight="1" x14ac:dyDescent="0.2">
      <c r="A10" s="40" t="str">
        <f>[2]STORE!D11</f>
        <v>نيو حلايب 4سم</v>
      </c>
      <c r="B10" s="40">
        <f>[2]STORE!H11</f>
        <v>0</v>
      </c>
      <c r="C10" s="44">
        <v>0</v>
      </c>
      <c r="D10" s="45">
        <f t="shared" si="2"/>
        <v>0</v>
      </c>
      <c r="F10" s="40" t="str">
        <f t="shared" si="0"/>
        <v>نيو حلايب 4سم</v>
      </c>
      <c r="G10" s="40">
        <f>[2]STORE!L11</f>
        <v>0</v>
      </c>
      <c r="H10" s="44">
        <v>0</v>
      </c>
      <c r="I10" s="45">
        <f t="shared" si="3"/>
        <v>0</v>
      </c>
      <c r="K10" s="40" t="str">
        <f t="shared" si="1"/>
        <v>نيو حلايب 4سم</v>
      </c>
      <c r="L10" s="40">
        <f>[2]STORE!J11</f>
        <v>0</v>
      </c>
      <c r="M10" s="44">
        <v>0</v>
      </c>
      <c r="N10" s="44">
        <f t="shared" si="4"/>
        <v>0</v>
      </c>
    </row>
    <row r="11" spans="1:14" s="41" customFormat="1" ht="21" customHeight="1" x14ac:dyDescent="0.2">
      <c r="A11" s="40" t="str">
        <f>[2]STORE!D12</f>
        <v xml:space="preserve">احمر اسواني 2سم </v>
      </c>
      <c r="B11" s="40">
        <f>[2]STORE!H12</f>
        <v>18</v>
      </c>
      <c r="C11" s="44">
        <v>348</v>
      </c>
      <c r="D11" s="45">
        <f t="shared" si="2"/>
        <v>6264</v>
      </c>
      <c r="F11" s="40" t="str">
        <f t="shared" si="0"/>
        <v xml:space="preserve">احمر اسواني 2سم </v>
      </c>
      <c r="G11" s="40">
        <f>[2]STORE!L12</f>
        <v>18</v>
      </c>
      <c r="H11" s="44">
        <v>348</v>
      </c>
      <c r="I11" s="45">
        <f t="shared" si="3"/>
        <v>6264</v>
      </c>
      <c r="K11" s="40" t="str">
        <f t="shared" si="1"/>
        <v xml:space="preserve">احمر اسواني 2سم </v>
      </c>
      <c r="L11" s="40">
        <f>[2]STORE!J12</f>
        <v>0</v>
      </c>
      <c r="M11" s="44">
        <v>0</v>
      </c>
      <c r="N11" s="44">
        <f t="shared" si="4"/>
        <v>0</v>
      </c>
    </row>
    <row r="12" spans="1:14" s="41" customFormat="1" ht="21" customHeight="1" x14ac:dyDescent="0.2">
      <c r="A12" s="40" t="str">
        <f>[2]STORE!D13</f>
        <v xml:space="preserve">احمر اسواني 4سم </v>
      </c>
      <c r="B12" s="40">
        <f>[2]STORE!H13</f>
        <v>0</v>
      </c>
      <c r="C12" s="44">
        <v>0</v>
      </c>
      <c r="D12" s="45">
        <f t="shared" si="2"/>
        <v>0</v>
      </c>
      <c r="F12" s="40" t="str">
        <f t="shared" si="0"/>
        <v xml:space="preserve">احمر اسواني 4سم </v>
      </c>
      <c r="G12" s="40">
        <f>[2]STORE!L13</f>
        <v>0</v>
      </c>
      <c r="H12" s="44">
        <v>0</v>
      </c>
      <c r="I12" s="45">
        <f t="shared" si="3"/>
        <v>0</v>
      </c>
      <c r="K12" s="40" t="str">
        <f t="shared" si="1"/>
        <v xml:space="preserve">احمر اسواني 4سم </v>
      </c>
      <c r="L12" s="40">
        <f>[2]STORE!J13</f>
        <v>0</v>
      </c>
      <c r="M12" s="44">
        <v>0</v>
      </c>
      <c r="N12" s="44">
        <f t="shared" si="4"/>
        <v>0</v>
      </c>
    </row>
    <row r="13" spans="1:14" s="41" customFormat="1" ht="21" customHeight="1" x14ac:dyDescent="0.2">
      <c r="A13" s="40" t="str">
        <f>[2]STORE!D14</f>
        <v>فيردي 2سم</v>
      </c>
      <c r="B13" s="40">
        <f>[2]STORE!H14</f>
        <v>42</v>
      </c>
      <c r="C13" s="44">
        <v>350</v>
      </c>
      <c r="D13" s="45">
        <f t="shared" si="2"/>
        <v>14700</v>
      </c>
      <c r="F13" s="40" t="str">
        <f t="shared" si="0"/>
        <v>فيردي 2سم</v>
      </c>
      <c r="G13" s="40">
        <f>[2]STORE!L14</f>
        <v>42</v>
      </c>
      <c r="H13" s="44">
        <v>350</v>
      </c>
      <c r="I13" s="45">
        <f t="shared" si="3"/>
        <v>14700</v>
      </c>
      <c r="K13" s="40" t="str">
        <f t="shared" si="1"/>
        <v>فيردي 2سم</v>
      </c>
      <c r="L13" s="40">
        <f>[2]STORE!J14</f>
        <v>0</v>
      </c>
      <c r="M13" s="44">
        <v>0</v>
      </c>
      <c r="N13" s="44">
        <f t="shared" si="4"/>
        <v>0</v>
      </c>
    </row>
    <row r="14" spans="1:14" s="41" customFormat="1" ht="21" customHeight="1" x14ac:dyDescent="0.2">
      <c r="A14" s="40" t="str">
        <f>[2]STORE!D15</f>
        <v xml:space="preserve">فيردي 4سم </v>
      </c>
      <c r="B14" s="40">
        <f>[2]STORE!H15</f>
        <v>0</v>
      </c>
      <c r="C14" s="44">
        <v>0</v>
      </c>
      <c r="D14" s="45">
        <f t="shared" si="2"/>
        <v>0</v>
      </c>
      <c r="F14" s="40" t="str">
        <f t="shared" si="0"/>
        <v xml:space="preserve">فيردي 4سم </v>
      </c>
      <c r="G14" s="40">
        <f>[2]STORE!L15</f>
        <v>0</v>
      </c>
      <c r="H14" s="44">
        <v>0</v>
      </c>
      <c r="I14" s="45">
        <f t="shared" si="3"/>
        <v>0</v>
      </c>
      <c r="K14" s="40" t="str">
        <f t="shared" si="1"/>
        <v xml:space="preserve">فيردي 4سم </v>
      </c>
      <c r="L14" s="40">
        <f>[2]STORE!J15</f>
        <v>0</v>
      </c>
      <c r="M14" s="44">
        <v>0</v>
      </c>
      <c r="N14" s="44">
        <f t="shared" si="4"/>
        <v>0</v>
      </c>
    </row>
    <row r="15" spans="1:14" s="41" customFormat="1" ht="21" customHeight="1" x14ac:dyDescent="0.2">
      <c r="A15" s="40" t="str">
        <f>[2]STORE!D16</f>
        <v>برتولو جولد 2سم</v>
      </c>
      <c r="B15" s="40">
        <f>[2]STORE!H16</f>
        <v>8.5</v>
      </c>
      <c r="C15" s="44">
        <v>3200</v>
      </c>
      <c r="D15" s="45">
        <f t="shared" si="2"/>
        <v>27200</v>
      </c>
      <c r="F15" s="40" t="str">
        <f t="shared" si="0"/>
        <v>برتولو جولد 2سم</v>
      </c>
      <c r="G15" s="40">
        <f>[2]STORE!L16</f>
        <v>8.5</v>
      </c>
      <c r="H15" s="44">
        <v>3200</v>
      </c>
      <c r="I15" s="45">
        <f t="shared" si="3"/>
        <v>27200</v>
      </c>
      <c r="K15" s="40" t="str">
        <f t="shared" si="1"/>
        <v>برتولو جولد 2سم</v>
      </c>
      <c r="L15" s="40">
        <f>[2]STORE!J16</f>
        <v>0</v>
      </c>
      <c r="M15" s="44">
        <v>0</v>
      </c>
      <c r="N15" s="44">
        <f t="shared" si="4"/>
        <v>0</v>
      </c>
    </row>
    <row r="16" spans="1:14" s="41" customFormat="1" ht="21" customHeight="1" x14ac:dyDescent="0.2">
      <c r="A16" s="40" t="str">
        <f>[2]STORE!D17</f>
        <v>تريستا 2سم</v>
      </c>
      <c r="B16" s="40">
        <f>[2]STORE!H17</f>
        <v>0</v>
      </c>
      <c r="C16" s="44">
        <v>0</v>
      </c>
      <c r="D16" s="45">
        <f t="shared" si="2"/>
        <v>0</v>
      </c>
      <c r="F16" s="40" t="str">
        <f t="shared" si="0"/>
        <v>تريستا 2سم</v>
      </c>
      <c r="G16" s="40">
        <f>[2]STORE!L17</f>
        <v>0</v>
      </c>
      <c r="H16" s="44">
        <v>0</v>
      </c>
      <c r="I16" s="45">
        <f t="shared" si="3"/>
        <v>0</v>
      </c>
      <c r="K16" s="40" t="str">
        <f t="shared" si="1"/>
        <v>تريستا 2سم</v>
      </c>
      <c r="L16" s="40">
        <f>[2]STORE!J17</f>
        <v>0</v>
      </c>
      <c r="M16" s="44">
        <v>0</v>
      </c>
      <c r="N16" s="44">
        <f t="shared" si="4"/>
        <v>0</v>
      </c>
    </row>
    <row r="17" spans="1:14" s="41" customFormat="1" ht="21" customHeight="1" x14ac:dyDescent="0.2">
      <c r="A17" s="40" t="str">
        <f>[2]STORE!D18</f>
        <v>اسود جلاكسي 2سم</v>
      </c>
      <c r="B17" s="40">
        <f>[2]STORE!H18</f>
        <v>0</v>
      </c>
      <c r="C17" s="44">
        <v>0</v>
      </c>
      <c r="D17" s="45">
        <f t="shared" si="2"/>
        <v>0</v>
      </c>
      <c r="F17" s="40" t="str">
        <f t="shared" si="0"/>
        <v>اسود جلاكسي 2سم</v>
      </c>
      <c r="G17" s="40">
        <f>[2]STORE!L18</f>
        <v>0</v>
      </c>
      <c r="H17" s="44">
        <v>0</v>
      </c>
      <c r="I17" s="45">
        <f t="shared" si="3"/>
        <v>0</v>
      </c>
      <c r="K17" s="40" t="str">
        <f t="shared" si="1"/>
        <v>اسود جلاكسي 2سم</v>
      </c>
      <c r="L17" s="40">
        <f>[2]STORE!J18</f>
        <v>0</v>
      </c>
      <c r="M17" s="44">
        <v>0</v>
      </c>
      <c r="N17" s="44">
        <f t="shared" si="4"/>
        <v>0</v>
      </c>
    </row>
    <row r="18" spans="1:14" s="41" customFormat="1" ht="21" customHeight="1" x14ac:dyDescent="0.2">
      <c r="A18" s="40" t="str">
        <f>[2]STORE!D19</f>
        <v>هودي 2سم</v>
      </c>
      <c r="B18" s="40">
        <f>[2]STORE!H19</f>
        <v>34.840000000000003</v>
      </c>
      <c r="C18" s="44">
        <v>180</v>
      </c>
      <c r="D18" s="45">
        <f t="shared" si="2"/>
        <v>6271.2000000000007</v>
      </c>
      <c r="F18" s="40" t="str">
        <f t="shared" si="0"/>
        <v>هودي 2سم</v>
      </c>
      <c r="G18" s="40">
        <f>[2]STORE!L19</f>
        <v>34.840000000000003</v>
      </c>
      <c r="H18" s="44">
        <v>180</v>
      </c>
      <c r="I18" s="45">
        <f t="shared" si="3"/>
        <v>6271.2000000000007</v>
      </c>
      <c r="K18" s="40" t="str">
        <f t="shared" si="1"/>
        <v>هودي 2سم</v>
      </c>
      <c r="L18" s="40">
        <f>[2]STORE!J19</f>
        <v>0</v>
      </c>
      <c r="M18" s="44">
        <v>0</v>
      </c>
      <c r="N18" s="44">
        <f t="shared" si="4"/>
        <v>0</v>
      </c>
    </row>
    <row r="19" spans="1:14" s="41" customFormat="1" ht="21" customHeight="1" x14ac:dyDescent="0.2">
      <c r="A19" s="40" t="str">
        <f>[2]STORE!D20</f>
        <v>هودي 4سم</v>
      </c>
      <c r="B19" s="40">
        <f>[2]STORE!H20</f>
        <v>0</v>
      </c>
      <c r="C19" s="44">
        <v>0</v>
      </c>
      <c r="D19" s="45">
        <f t="shared" si="2"/>
        <v>0</v>
      </c>
      <c r="F19" s="40" t="str">
        <f t="shared" si="0"/>
        <v>هودي 4سم</v>
      </c>
      <c r="G19" s="40">
        <f>[2]STORE!L20</f>
        <v>0</v>
      </c>
      <c r="H19" s="44">
        <v>0</v>
      </c>
      <c r="I19" s="45">
        <f t="shared" si="3"/>
        <v>0</v>
      </c>
      <c r="K19" s="40" t="str">
        <f t="shared" si="1"/>
        <v>هودي 4سم</v>
      </c>
      <c r="L19" s="40">
        <f>[2]STORE!J20</f>
        <v>0</v>
      </c>
      <c r="M19" s="44">
        <v>0</v>
      </c>
      <c r="N19" s="44">
        <f t="shared" si="4"/>
        <v>0</v>
      </c>
    </row>
    <row r="20" spans="1:14" s="41" customFormat="1" ht="21" customHeight="1" x14ac:dyDescent="0.2">
      <c r="A20" s="40" t="str">
        <f>[2]STORE!D21</f>
        <v xml:space="preserve">جاندولة 2سم </v>
      </c>
      <c r="B20" s="40">
        <f>[2]STORE!H21</f>
        <v>0</v>
      </c>
      <c r="C20" s="44">
        <v>0</v>
      </c>
      <c r="D20" s="45">
        <f t="shared" si="2"/>
        <v>0</v>
      </c>
      <c r="F20" s="40" t="str">
        <f t="shared" si="0"/>
        <v xml:space="preserve">جاندولة 2سم </v>
      </c>
      <c r="G20" s="40">
        <f>[2]STORE!L21</f>
        <v>0</v>
      </c>
      <c r="H20" s="44">
        <v>0</v>
      </c>
      <c r="I20" s="45">
        <f t="shared" si="3"/>
        <v>0</v>
      </c>
      <c r="K20" s="40" t="str">
        <f t="shared" si="1"/>
        <v xml:space="preserve">جاندولة 2سم </v>
      </c>
      <c r="L20" s="40">
        <f>[2]STORE!J21</f>
        <v>0</v>
      </c>
      <c r="M20" s="44">
        <v>0</v>
      </c>
      <c r="N20" s="44">
        <f t="shared" si="4"/>
        <v>0</v>
      </c>
    </row>
    <row r="21" spans="1:14" s="41" customFormat="1" ht="21" customHeight="1" x14ac:dyDescent="0.2">
      <c r="A21" s="40" t="str">
        <f>[2]STORE!D22</f>
        <v xml:space="preserve">جاندولة 4سم </v>
      </c>
      <c r="B21" s="40">
        <f>[2]STORE!H22</f>
        <v>0</v>
      </c>
      <c r="C21" s="44">
        <v>0</v>
      </c>
      <c r="D21" s="45">
        <f t="shared" si="2"/>
        <v>0</v>
      </c>
      <c r="F21" s="40" t="str">
        <f t="shared" si="0"/>
        <v xml:space="preserve">جاندولة 4سم </v>
      </c>
      <c r="G21" s="40">
        <f>[2]STORE!L22</f>
        <v>0</v>
      </c>
      <c r="H21" s="44">
        <v>0</v>
      </c>
      <c r="I21" s="45">
        <f t="shared" si="3"/>
        <v>0</v>
      </c>
      <c r="K21" s="40" t="str">
        <f t="shared" si="1"/>
        <v xml:space="preserve">جاندولة 4سم </v>
      </c>
      <c r="L21" s="40">
        <f>[2]STORE!J22</f>
        <v>0</v>
      </c>
      <c r="M21" s="44">
        <v>0</v>
      </c>
      <c r="N21" s="44">
        <f t="shared" si="4"/>
        <v>0</v>
      </c>
    </row>
    <row r="22" spans="1:14" s="41" customFormat="1" ht="21" customHeight="1" x14ac:dyDescent="0.2">
      <c r="A22" s="40" t="str">
        <f>[2]STORE!D23</f>
        <v xml:space="preserve">حلايب 2سم </v>
      </c>
      <c r="B22" s="40">
        <f>[2]STORE!H23</f>
        <v>0</v>
      </c>
      <c r="C22" s="44">
        <v>0</v>
      </c>
      <c r="D22" s="45">
        <f t="shared" si="2"/>
        <v>0</v>
      </c>
      <c r="F22" s="40" t="str">
        <f t="shared" si="0"/>
        <v xml:space="preserve">حلايب 2سم </v>
      </c>
      <c r="G22" s="40">
        <f>[2]STORE!L23</f>
        <v>0</v>
      </c>
      <c r="H22" s="44">
        <v>0</v>
      </c>
      <c r="I22" s="45">
        <f t="shared" si="3"/>
        <v>0</v>
      </c>
      <c r="K22" s="40" t="str">
        <f t="shared" si="1"/>
        <v xml:space="preserve">حلايب 2سم </v>
      </c>
      <c r="L22" s="40">
        <f>[2]STORE!J23</f>
        <v>0</v>
      </c>
      <c r="M22" s="44">
        <v>0</v>
      </c>
      <c r="N22" s="44">
        <f t="shared" si="4"/>
        <v>0</v>
      </c>
    </row>
    <row r="23" spans="1:14" s="41" customFormat="1" ht="21" customHeight="1" x14ac:dyDescent="0.2">
      <c r="A23" s="40" t="str">
        <f>[2]STORE!D24</f>
        <v xml:space="preserve">حلايب 4سم </v>
      </c>
      <c r="B23" s="40">
        <f>[2]STORE!H24</f>
        <v>0</v>
      </c>
      <c r="C23" s="44">
        <v>0</v>
      </c>
      <c r="D23" s="45">
        <f t="shared" si="2"/>
        <v>0</v>
      </c>
      <c r="F23" s="40" t="str">
        <f t="shared" si="0"/>
        <v xml:space="preserve">حلايب 4سم </v>
      </c>
      <c r="G23" s="40">
        <f>[2]STORE!L24</f>
        <v>0</v>
      </c>
      <c r="H23" s="44">
        <v>0</v>
      </c>
      <c r="I23" s="45">
        <f t="shared" si="3"/>
        <v>0</v>
      </c>
      <c r="K23" s="40" t="str">
        <f t="shared" si="1"/>
        <v xml:space="preserve">حلايب 4سم </v>
      </c>
      <c r="L23" s="40">
        <f>[2]STORE!J24</f>
        <v>0</v>
      </c>
      <c r="M23" s="44">
        <v>0</v>
      </c>
      <c r="N23" s="44">
        <f t="shared" si="4"/>
        <v>0</v>
      </c>
    </row>
    <row r="24" spans="1:14" s="41" customFormat="1" ht="21" customHeight="1" x14ac:dyDescent="0.2">
      <c r="A24" s="40" t="str">
        <f>[2]STORE!D25</f>
        <v>كرارة 2سم</v>
      </c>
      <c r="B24" s="40">
        <f>[2]STORE!H25</f>
        <v>0</v>
      </c>
      <c r="C24" s="44">
        <v>0</v>
      </c>
      <c r="D24" s="45">
        <f t="shared" si="2"/>
        <v>0</v>
      </c>
      <c r="F24" s="40" t="str">
        <f t="shared" si="0"/>
        <v>كرارة 2سم</v>
      </c>
      <c r="G24" s="40">
        <f>[2]STORE!L25</f>
        <v>0</v>
      </c>
      <c r="H24" s="44">
        <v>0</v>
      </c>
      <c r="I24" s="45">
        <f t="shared" si="3"/>
        <v>0</v>
      </c>
      <c r="K24" s="40" t="str">
        <f t="shared" si="1"/>
        <v>كرارة 2سم</v>
      </c>
      <c r="L24" s="40">
        <f>[2]STORE!J25</f>
        <v>0</v>
      </c>
      <c r="M24" s="44">
        <v>0</v>
      </c>
      <c r="N24" s="44">
        <f t="shared" si="4"/>
        <v>0</v>
      </c>
    </row>
    <row r="25" spans="1:14" s="41" customFormat="1" ht="21" customHeight="1" x14ac:dyDescent="0.2">
      <c r="A25" s="40" t="str">
        <f>[2]STORE!D26</f>
        <v xml:space="preserve">فرسان 2سم </v>
      </c>
      <c r="B25" s="40">
        <f>[2]STORE!H26</f>
        <v>40</v>
      </c>
      <c r="C25" s="44">
        <v>230</v>
      </c>
      <c r="D25" s="45">
        <f t="shared" si="2"/>
        <v>9200</v>
      </c>
      <c r="F25" s="40" t="str">
        <f t="shared" si="0"/>
        <v xml:space="preserve">فرسان 2سم </v>
      </c>
      <c r="G25" s="40">
        <f>[2]STORE!L26</f>
        <v>40</v>
      </c>
      <c r="H25" s="44">
        <v>230</v>
      </c>
      <c r="I25" s="45">
        <f t="shared" si="3"/>
        <v>9200</v>
      </c>
      <c r="K25" s="40" t="str">
        <f t="shared" si="1"/>
        <v xml:space="preserve">فرسان 2سم </v>
      </c>
      <c r="L25" s="40">
        <f>[2]STORE!J26</f>
        <v>0</v>
      </c>
      <c r="M25" s="44">
        <v>0</v>
      </c>
      <c r="N25" s="44">
        <f t="shared" si="4"/>
        <v>0</v>
      </c>
    </row>
    <row r="26" spans="1:14" s="41" customFormat="1" ht="21" customHeight="1" x14ac:dyDescent="0.2">
      <c r="A26" s="40" t="str">
        <f>[2]STORE!D27</f>
        <v>سفاجا 2سم</v>
      </c>
      <c r="B26" s="40">
        <f>[2]STORE!H27</f>
        <v>25</v>
      </c>
      <c r="C26" s="44">
        <v>240</v>
      </c>
      <c r="D26" s="45">
        <f t="shared" si="2"/>
        <v>6000</v>
      </c>
      <c r="F26" s="40" t="str">
        <f t="shared" si="0"/>
        <v>سفاجا 2سم</v>
      </c>
      <c r="G26" s="40">
        <f>[2]STORE!L27</f>
        <v>25</v>
      </c>
      <c r="H26" s="44">
        <v>240</v>
      </c>
      <c r="I26" s="45">
        <f t="shared" si="3"/>
        <v>6000</v>
      </c>
      <c r="K26" s="40" t="str">
        <f t="shared" si="1"/>
        <v>سفاجا 2سم</v>
      </c>
      <c r="L26" s="40">
        <f>[2]STORE!J27</f>
        <v>0</v>
      </c>
      <c r="M26" s="44">
        <v>0</v>
      </c>
      <c r="N26" s="44">
        <f t="shared" si="4"/>
        <v>0</v>
      </c>
    </row>
    <row r="27" spans="1:14" s="41" customFormat="1" ht="21" customHeight="1" x14ac:dyDescent="0.2">
      <c r="A27" s="40" t="str">
        <f>[2]STORE!D28</f>
        <v>رويل 2سم</v>
      </c>
      <c r="B27" s="40">
        <f>[2]STORE!H28</f>
        <v>20.61</v>
      </c>
      <c r="C27" s="44">
        <v>290</v>
      </c>
      <c r="D27" s="45">
        <f t="shared" si="2"/>
        <v>5976.9</v>
      </c>
      <c r="F27" s="40" t="str">
        <f t="shared" si="0"/>
        <v>رويل 2سم</v>
      </c>
      <c r="G27" s="40">
        <f>[2]STORE!L28</f>
        <v>18.41</v>
      </c>
      <c r="H27" s="44">
        <v>290</v>
      </c>
      <c r="I27" s="45">
        <f t="shared" si="3"/>
        <v>5338.9</v>
      </c>
      <c r="K27" s="40" t="str">
        <f t="shared" si="1"/>
        <v>رويل 2سم</v>
      </c>
      <c r="L27" s="40">
        <f>[2]STORE!J28</f>
        <v>2.2000000000000002</v>
      </c>
      <c r="M27" s="44">
        <v>350</v>
      </c>
      <c r="N27" s="44">
        <f t="shared" si="4"/>
        <v>770.00000000000011</v>
      </c>
    </row>
    <row r="28" spans="1:14" s="41" customFormat="1" ht="21" customHeight="1" x14ac:dyDescent="0.2">
      <c r="A28" s="40" t="str">
        <f>[2]STORE!D29</f>
        <v>روزة نصر 2سم</v>
      </c>
      <c r="B28" s="40">
        <f>[2]STORE!H29</f>
        <v>15</v>
      </c>
      <c r="C28" s="44">
        <v>185</v>
      </c>
      <c r="D28" s="45">
        <f t="shared" si="2"/>
        <v>2775</v>
      </c>
      <c r="F28" s="40" t="str">
        <f t="shared" si="0"/>
        <v>روزة نصر 2سم</v>
      </c>
      <c r="G28" s="40">
        <f>[2]STORE!L29</f>
        <v>15</v>
      </c>
      <c r="H28" s="44">
        <v>185</v>
      </c>
      <c r="I28" s="45">
        <f t="shared" si="3"/>
        <v>2775</v>
      </c>
      <c r="K28" s="40" t="str">
        <f t="shared" si="1"/>
        <v>روزة نصر 2سم</v>
      </c>
      <c r="L28" s="40">
        <v>0</v>
      </c>
      <c r="M28" s="44">
        <v>0</v>
      </c>
      <c r="N28" s="44">
        <f t="shared" si="4"/>
        <v>0</v>
      </c>
    </row>
    <row r="29" spans="1:14" s="41" customFormat="1" ht="21" customHeight="1" x14ac:dyDescent="0.2">
      <c r="A29" s="40" t="str">
        <f>[2]STORE!D30</f>
        <v>رمادي شركة 2سم</v>
      </c>
      <c r="B29" s="40">
        <f>[2]STORE!H30</f>
        <v>7.5</v>
      </c>
      <c r="C29" s="44">
        <v>320</v>
      </c>
      <c r="D29" s="45">
        <f t="shared" si="2"/>
        <v>2400</v>
      </c>
      <c r="F29" s="40" t="str">
        <f t="shared" si="0"/>
        <v>رمادي شركة 2سم</v>
      </c>
      <c r="G29" s="40">
        <f>[2]STORE!L30</f>
        <v>7.5</v>
      </c>
      <c r="H29" s="44">
        <v>320</v>
      </c>
      <c r="I29" s="45">
        <f t="shared" si="3"/>
        <v>2400</v>
      </c>
      <c r="K29" s="40" t="str">
        <f t="shared" si="1"/>
        <v>رمادي شركة 2سم</v>
      </c>
      <c r="L29" s="40">
        <v>0</v>
      </c>
      <c r="M29" s="44">
        <v>0</v>
      </c>
      <c r="N29" s="44">
        <f t="shared" si="4"/>
        <v>0</v>
      </c>
    </row>
    <row r="30" spans="1:14" s="48" customFormat="1" ht="24.75" x14ac:dyDescent="0.6">
      <c r="A30" s="77" t="s">
        <v>53</v>
      </c>
      <c r="B30" s="77"/>
      <c r="C30" s="77"/>
      <c r="D30" s="47">
        <f>SUM(D5:D29)</f>
        <v>214855.85</v>
      </c>
      <c r="F30" s="80" t="s">
        <v>53</v>
      </c>
      <c r="G30" s="81"/>
      <c r="H30" s="82"/>
      <c r="I30" s="49">
        <f>SUM(I5:I29)</f>
        <v>178867.85</v>
      </c>
      <c r="K30" s="80" t="s">
        <v>53</v>
      </c>
      <c r="L30" s="81"/>
      <c r="M30" s="82"/>
      <c r="N30" s="50">
        <f>SUM(N5:N29)</f>
        <v>51415</v>
      </c>
    </row>
    <row r="31" spans="1:14" ht="15.75" x14ac:dyDescent="0.25">
      <c r="K31" s="46" t="s">
        <v>97</v>
      </c>
      <c r="N31" s="35">
        <v>5480</v>
      </c>
    </row>
    <row r="32" spans="1:14" ht="31.5" customHeight="1" x14ac:dyDescent="0.2">
      <c r="E32" s="78" t="s">
        <v>98</v>
      </c>
      <c r="F32" s="79"/>
      <c r="G32" s="78" t="s">
        <v>99</v>
      </c>
      <c r="H32" s="79"/>
      <c r="N32" s="36"/>
    </row>
    <row r="33" spans="5:15" ht="31.5" customHeight="1" x14ac:dyDescent="0.2">
      <c r="E33" s="51">
        <v>214856</v>
      </c>
      <c r="F33" s="40" t="s">
        <v>100</v>
      </c>
      <c r="G33" s="51">
        <v>51415</v>
      </c>
      <c r="H33" s="40" t="s">
        <v>101</v>
      </c>
    </row>
    <row r="34" spans="5:15" ht="54" x14ac:dyDescent="0.2">
      <c r="E34" s="51">
        <v>15000</v>
      </c>
      <c r="F34" s="33" t="s">
        <v>102</v>
      </c>
      <c r="G34" s="51">
        <v>5480</v>
      </c>
      <c r="H34" s="40" t="s">
        <v>97</v>
      </c>
    </row>
    <row r="35" spans="5:15" ht="31.5" customHeight="1" x14ac:dyDescent="0.2">
      <c r="E35" s="51">
        <f>E36-E33-E34</f>
        <v>5907</v>
      </c>
      <c r="F35" s="40" t="s">
        <v>109</v>
      </c>
      <c r="G35" s="51">
        <v>178868</v>
      </c>
      <c r="H35" s="40" t="s">
        <v>103</v>
      </c>
      <c r="N35" s="36"/>
      <c r="O35" s="34"/>
    </row>
    <row r="36" spans="5:15" ht="31.5" customHeight="1" x14ac:dyDescent="0.2">
      <c r="E36" s="52">
        <f>G36</f>
        <v>235763</v>
      </c>
      <c r="F36" s="41"/>
      <c r="G36" s="52">
        <f>SUM(G33:G35)</f>
        <v>235763</v>
      </c>
    </row>
  </sheetData>
  <mergeCells count="6">
    <mergeCell ref="E1:J3"/>
    <mergeCell ref="A30:C30"/>
    <mergeCell ref="E32:F32"/>
    <mergeCell ref="G32:H32"/>
    <mergeCell ref="K30:M30"/>
    <mergeCell ref="F30:H30"/>
  </mergeCells>
  <printOptions horizontalCentered="1" verticalCentered="1"/>
  <pageMargins left="0.7" right="0.7" top="0.75" bottom="0.75" header="0.3" footer="0.3"/>
  <pageSetup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FF42C-95F3-4BFD-9A32-321FE5265B72}">
  <sheetPr>
    <pageSetUpPr fitToPage="1"/>
  </sheetPr>
  <dimension ref="B2:K32"/>
  <sheetViews>
    <sheetView rightToLeft="1" topLeftCell="A19" workbookViewId="0">
      <selection activeCell="B2" sqref="B2:E29"/>
    </sheetView>
  </sheetViews>
  <sheetFormatPr defaultRowHeight="14.25" x14ac:dyDescent="0.2"/>
  <cols>
    <col min="2" max="2" width="20" bestFit="1" customWidth="1"/>
    <col min="3" max="3" width="17" bestFit="1" customWidth="1"/>
    <col min="4" max="4" width="15.75" bestFit="1" customWidth="1"/>
    <col min="5" max="5" width="16" bestFit="1" customWidth="1"/>
    <col min="6" max="7" width="9.25" customWidth="1"/>
    <col min="8" max="9" width="11.125" bestFit="1" customWidth="1"/>
    <col min="10" max="11" width="16" bestFit="1" customWidth="1"/>
  </cols>
  <sheetData>
    <row r="2" spans="2:5" ht="31.5" customHeight="1" x14ac:dyDescent="0.2">
      <c r="B2" s="53" t="str">
        <f>[3]STORE!D5</f>
        <v xml:space="preserve">اسم الصنف </v>
      </c>
      <c r="C2" s="53" t="s">
        <v>121</v>
      </c>
      <c r="D2" s="53" t="s">
        <v>122</v>
      </c>
      <c r="E2" s="53" t="s">
        <v>123</v>
      </c>
    </row>
    <row r="3" spans="2:5" s="43" customFormat="1" ht="22.5" customHeight="1" x14ac:dyDescent="0.2">
      <c r="B3" s="42" t="str">
        <f>[3]STORE!D6</f>
        <v>منيا فص 2سم</v>
      </c>
      <c r="C3" s="61">
        <v>330</v>
      </c>
      <c r="D3" s="57">
        <v>85</v>
      </c>
      <c r="E3" s="57">
        <f>D3*C3</f>
        <v>28050</v>
      </c>
    </row>
    <row r="4" spans="2:5" s="43" customFormat="1" ht="22.5" customHeight="1" x14ac:dyDescent="0.2">
      <c r="B4" s="42" t="str">
        <f>[3]STORE!D7</f>
        <v>منيا فص 4 سم</v>
      </c>
      <c r="C4" s="42">
        <v>248</v>
      </c>
      <c r="D4" s="57">
        <v>155</v>
      </c>
      <c r="E4" s="57">
        <f t="shared" ref="E4:E28" si="0">D4*C4</f>
        <v>38440</v>
      </c>
    </row>
    <row r="5" spans="2:5" s="43" customFormat="1" ht="22.5" customHeight="1" x14ac:dyDescent="0.2">
      <c r="B5" s="42" t="str">
        <f>[3]STORE!D8</f>
        <v xml:space="preserve">سلفيا 2سم </v>
      </c>
      <c r="C5" s="61">
        <v>115</v>
      </c>
      <c r="D5" s="57">
        <v>125</v>
      </c>
      <c r="E5" s="57">
        <f t="shared" si="0"/>
        <v>14375</v>
      </c>
    </row>
    <row r="6" spans="2:5" s="43" customFormat="1" ht="22.5" customHeight="1" x14ac:dyDescent="0.2">
      <c r="B6" s="42" t="str">
        <f>[3]STORE!D9</f>
        <v>سلفيا 4 سم</v>
      </c>
      <c r="C6" s="42">
        <f>[3]STORE!J9</f>
        <v>74.400000000000006</v>
      </c>
      <c r="D6" s="57">
        <v>185</v>
      </c>
      <c r="E6" s="57">
        <f t="shared" si="0"/>
        <v>13764.000000000002</v>
      </c>
    </row>
    <row r="7" spans="2:5" s="43" customFormat="1" ht="22.5" customHeight="1" x14ac:dyDescent="0.2">
      <c r="B7" s="42" t="str">
        <f>[3]STORE!D10</f>
        <v>نيو حلايب 2سم</v>
      </c>
      <c r="C7" s="61">
        <v>46.5</v>
      </c>
      <c r="D7" s="57">
        <v>225</v>
      </c>
      <c r="E7" s="57">
        <f t="shared" si="0"/>
        <v>10462.5</v>
      </c>
    </row>
    <row r="8" spans="2:5" s="43" customFormat="1" ht="22.5" customHeight="1" x14ac:dyDescent="0.2">
      <c r="B8" s="42" t="str">
        <f>[3]STORE!D11</f>
        <v>نيو حلايب 4سم</v>
      </c>
      <c r="C8" s="42">
        <f>[3]STORE!J11</f>
        <v>15</v>
      </c>
      <c r="D8" s="57">
        <v>360</v>
      </c>
      <c r="E8" s="57">
        <f t="shared" si="0"/>
        <v>5400</v>
      </c>
    </row>
    <row r="9" spans="2:5" s="43" customFormat="1" ht="22.5" customHeight="1" x14ac:dyDescent="0.2">
      <c r="B9" s="42" t="str">
        <f>[3]STORE!D12</f>
        <v xml:space="preserve">احمر اسواني 2سم </v>
      </c>
      <c r="C9" s="61">
        <v>17</v>
      </c>
      <c r="D9" s="57">
        <v>348</v>
      </c>
      <c r="E9" s="57">
        <f t="shared" si="0"/>
        <v>5916</v>
      </c>
    </row>
    <row r="10" spans="2:5" s="43" customFormat="1" ht="22.5" customHeight="1" x14ac:dyDescent="0.2">
      <c r="B10" s="42" t="str">
        <f>[3]STORE!D13</f>
        <v xml:space="preserve">احمر اسواني 4سم </v>
      </c>
      <c r="C10" s="42">
        <f>[3]STORE!J13</f>
        <v>0</v>
      </c>
      <c r="D10" s="57">
        <v>0</v>
      </c>
      <c r="E10" s="57">
        <f t="shared" si="0"/>
        <v>0</v>
      </c>
    </row>
    <row r="11" spans="2:5" s="43" customFormat="1" ht="22.5" customHeight="1" x14ac:dyDescent="0.2">
      <c r="B11" s="42" t="str">
        <f>[3]STORE!D14</f>
        <v>فيردي 2سم</v>
      </c>
      <c r="C11" s="61">
        <f>[3]STORE!J14</f>
        <v>42</v>
      </c>
      <c r="D11" s="57">
        <v>350</v>
      </c>
      <c r="E11" s="57">
        <f t="shared" si="0"/>
        <v>14700</v>
      </c>
    </row>
    <row r="12" spans="2:5" s="43" customFormat="1" ht="22.5" customHeight="1" x14ac:dyDescent="0.2">
      <c r="B12" s="42" t="str">
        <f>[3]STORE!D15</f>
        <v xml:space="preserve">فيردي 4سم </v>
      </c>
      <c r="C12" s="42">
        <f>[3]STORE!J15</f>
        <v>0</v>
      </c>
      <c r="D12" s="57">
        <v>0</v>
      </c>
      <c r="E12" s="57">
        <f t="shared" si="0"/>
        <v>0</v>
      </c>
    </row>
    <row r="13" spans="2:5" s="43" customFormat="1" ht="22.5" customHeight="1" x14ac:dyDescent="0.2">
      <c r="B13" s="42" t="str">
        <f>[3]STORE!D16</f>
        <v>برتولو جولد 2سم</v>
      </c>
      <c r="C13" s="42">
        <f>[3]STORE!J16</f>
        <v>9</v>
      </c>
      <c r="D13" s="57">
        <v>3200</v>
      </c>
      <c r="E13" s="57">
        <f t="shared" si="0"/>
        <v>28800</v>
      </c>
    </row>
    <row r="14" spans="2:5" s="43" customFormat="1" ht="22.5" customHeight="1" x14ac:dyDescent="0.2">
      <c r="B14" s="42" t="str">
        <f>[3]STORE!D17</f>
        <v>تريستا 2سم</v>
      </c>
      <c r="C14" s="42">
        <f>[3]STORE!J17</f>
        <v>0</v>
      </c>
      <c r="D14" s="57">
        <v>0</v>
      </c>
      <c r="E14" s="57">
        <f t="shared" si="0"/>
        <v>0</v>
      </c>
    </row>
    <row r="15" spans="2:5" s="43" customFormat="1" ht="22.5" customHeight="1" x14ac:dyDescent="0.2">
      <c r="B15" s="42" t="str">
        <f>[3]STORE!D18</f>
        <v>اسود جلاكسي 2سم</v>
      </c>
      <c r="C15" s="42">
        <f>[3]STORE!J18</f>
        <v>0</v>
      </c>
      <c r="D15" s="57">
        <v>0</v>
      </c>
      <c r="E15" s="57">
        <f t="shared" si="0"/>
        <v>0</v>
      </c>
    </row>
    <row r="16" spans="2:5" s="43" customFormat="1" ht="22.5" customHeight="1" x14ac:dyDescent="0.2">
      <c r="B16" s="42" t="str">
        <f>[3]STORE!D19</f>
        <v>هودي 2سم</v>
      </c>
      <c r="C16" s="61">
        <v>42</v>
      </c>
      <c r="D16" s="57">
        <v>180</v>
      </c>
      <c r="E16" s="57">
        <f t="shared" si="0"/>
        <v>7560</v>
      </c>
    </row>
    <row r="17" spans="2:11" s="43" customFormat="1" ht="22.5" customHeight="1" x14ac:dyDescent="0.2">
      <c r="B17" s="42" t="str">
        <f>[3]STORE!D20</f>
        <v>هودي 4سم</v>
      </c>
      <c r="C17" s="42">
        <f>[3]STORE!J20</f>
        <v>0</v>
      </c>
      <c r="D17" s="57">
        <v>0</v>
      </c>
      <c r="E17" s="57">
        <f t="shared" si="0"/>
        <v>0</v>
      </c>
    </row>
    <row r="18" spans="2:11" s="43" customFormat="1" ht="22.5" customHeight="1" x14ac:dyDescent="0.2">
      <c r="B18" s="42" t="str">
        <f>[3]STORE!D21</f>
        <v xml:space="preserve">جاندولة 2سم </v>
      </c>
      <c r="C18" s="42">
        <f>[3]STORE!J21</f>
        <v>0</v>
      </c>
      <c r="D18" s="57">
        <v>0</v>
      </c>
      <c r="E18" s="57">
        <f t="shared" si="0"/>
        <v>0</v>
      </c>
    </row>
    <row r="19" spans="2:11" s="43" customFormat="1" ht="22.5" customHeight="1" x14ac:dyDescent="0.2">
      <c r="B19" s="42" t="str">
        <f>[3]STORE!D22</f>
        <v xml:space="preserve">جاندولة 4سم </v>
      </c>
      <c r="C19" s="42">
        <f>[3]STORE!J22</f>
        <v>0</v>
      </c>
      <c r="D19" s="57">
        <v>0</v>
      </c>
      <c r="E19" s="57">
        <f t="shared" si="0"/>
        <v>0</v>
      </c>
    </row>
    <row r="20" spans="2:11" s="43" customFormat="1" ht="22.5" customHeight="1" x14ac:dyDescent="0.2">
      <c r="B20" s="42" t="str">
        <f>[3]STORE!D23</f>
        <v xml:space="preserve">حلايب 2سم </v>
      </c>
      <c r="C20" s="42">
        <f>[3]STORE!J23</f>
        <v>0</v>
      </c>
      <c r="D20" s="57">
        <v>0</v>
      </c>
      <c r="E20" s="57">
        <f t="shared" si="0"/>
        <v>0</v>
      </c>
    </row>
    <row r="21" spans="2:11" s="43" customFormat="1" ht="22.5" customHeight="1" x14ac:dyDescent="0.2">
      <c r="B21" s="42" t="str">
        <f>[3]STORE!D24</f>
        <v xml:space="preserve">حلايب 4سم </v>
      </c>
      <c r="C21" s="42">
        <f>[3]STORE!J24</f>
        <v>0</v>
      </c>
      <c r="D21" s="57">
        <v>0</v>
      </c>
      <c r="E21" s="57">
        <f t="shared" si="0"/>
        <v>0</v>
      </c>
    </row>
    <row r="22" spans="2:11" s="43" customFormat="1" ht="22.5" customHeight="1" x14ac:dyDescent="0.2">
      <c r="B22" s="42" t="str">
        <f>[3]STORE!D25</f>
        <v>كرارة 2سم</v>
      </c>
      <c r="C22" s="42">
        <f>[3]STORE!J25</f>
        <v>0</v>
      </c>
      <c r="D22" s="57">
        <v>0</v>
      </c>
      <c r="E22" s="57">
        <f t="shared" si="0"/>
        <v>0</v>
      </c>
      <c r="K22" s="59"/>
    </row>
    <row r="23" spans="2:11" s="43" customFormat="1" ht="22.5" customHeight="1" x14ac:dyDescent="0.2">
      <c r="B23" s="42" t="str">
        <f>[3]STORE!D26</f>
        <v xml:space="preserve">فرسان 2سم </v>
      </c>
      <c r="C23" s="61">
        <f>[3]STORE!J26</f>
        <v>45</v>
      </c>
      <c r="D23" s="57">
        <v>230</v>
      </c>
      <c r="E23" s="57">
        <f t="shared" si="0"/>
        <v>10350</v>
      </c>
      <c r="K23" s="59"/>
    </row>
    <row r="24" spans="2:11" s="43" customFormat="1" ht="22.5" customHeight="1" x14ac:dyDescent="0.2">
      <c r="B24" s="42" t="str">
        <f>[3]STORE!D27</f>
        <v>سفاجا 2سم</v>
      </c>
      <c r="C24" s="61">
        <f>[3]STORE!J27</f>
        <v>26</v>
      </c>
      <c r="D24" s="57">
        <v>240</v>
      </c>
      <c r="E24" s="57">
        <f t="shared" si="0"/>
        <v>6240</v>
      </c>
      <c r="K24" s="60"/>
    </row>
    <row r="25" spans="2:11" s="43" customFormat="1" ht="22.5" customHeight="1" x14ac:dyDescent="0.2">
      <c r="B25" s="42" t="str">
        <f>[3]STORE!D28</f>
        <v>رويل 2سم</v>
      </c>
      <c r="C25" s="61">
        <f>[3]STORE!J28</f>
        <v>19</v>
      </c>
      <c r="D25" s="57">
        <v>290</v>
      </c>
      <c r="E25" s="57">
        <f t="shared" si="0"/>
        <v>5510</v>
      </c>
    </row>
    <row r="26" spans="2:11" s="43" customFormat="1" ht="22.5" customHeight="1" x14ac:dyDescent="0.2">
      <c r="B26" s="42" t="str">
        <f>[3]STORE!D29</f>
        <v>روزة نصر 2سم</v>
      </c>
      <c r="C26" s="61">
        <v>17.2</v>
      </c>
      <c r="D26" s="57">
        <v>185</v>
      </c>
      <c r="E26" s="57">
        <f t="shared" si="0"/>
        <v>3182</v>
      </c>
    </row>
    <row r="27" spans="2:11" s="43" customFormat="1" ht="22.5" customHeight="1" x14ac:dyDescent="0.2">
      <c r="B27" s="42" t="str">
        <f>[3]STORE!D30</f>
        <v>رمادي شركة 2سم</v>
      </c>
      <c r="C27" s="61">
        <v>8.6999999999999993</v>
      </c>
      <c r="D27" s="57">
        <v>320</v>
      </c>
      <c r="E27" s="57">
        <f t="shared" si="0"/>
        <v>2784</v>
      </c>
      <c r="H27" s="42" t="s">
        <v>125</v>
      </c>
      <c r="I27" s="42" t="s">
        <v>132</v>
      </c>
      <c r="J27" s="42" t="s">
        <v>126</v>
      </c>
      <c r="K27" s="42" t="s">
        <v>123</v>
      </c>
    </row>
    <row r="28" spans="2:11" s="43" customFormat="1" ht="22.5" customHeight="1" x14ac:dyDescent="0.2">
      <c r="B28" s="42" t="s">
        <v>133</v>
      </c>
      <c r="C28" s="42">
        <v>61.5</v>
      </c>
      <c r="D28" s="57">
        <v>120</v>
      </c>
      <c r="E28" s="57">
        <f t="shared" si="0"/>
        <v>7380</v>
      </c>
      <c r="H28" s="42"/>
      <c r="I28" s="42"/>
      <c r="J28" s="42"/>
      <c r="K28" s="42"/>
    </row>
    <row r="29" spans="2:11" ht="20.25" customHeight="1" x14ac:dyDescent="0.2">
      <c r="B29" s="83" t="s">
        <v>124</v>
      </c>
      <c r="C29" s="83"/>
      <c r="D29" s="83"/>
      <c r="E29" s="55">
        <f>SUM(E3:E28)</f>
        <v>202913.5</v>
      </c>
      <c r="H29" s="20" t="s">
        <v>129</v>
      </c>
      <c r="I29" s="58">
        <v>155</v>
      </c>
      <c r="J29" s="20">
        <v>105</v>
      </c>
      <c r="K29" s="54">
        <f>J29*I29</f>
        <v>16275</v>
      </c>
    </row>
    <row r="30" spans="2:11" ht="20.25" customHeight="1" x14ac:dyDescent="0.2">
      <c r="B30" s="78" t="s">
        <v>127</v>
      </c>
      <c r="C30" s="84"/>
      <c r="D30" s="79"/>
      <c r="E30" s="55">
        <v>23050</v>
      </c>
      <c r="H30" s="20" t="s">
        <v>130</v>
      </c>
      <c r="I30" s="58">
        <v>85</v>
      </c>
      <c r="J30" s="20">
        <v>65</v>
      </c>
      <c r="K30" s="54">
        <f t="shared" ref="K30:K31" si="1">J30*I30</f>
        <v>5525</v>
      </c>
    </row>
    <row r="31" spans="2:11" ht="20.25" customHeight="1" x14ac:dyDescent="0.2">
      <c r="B31" s="78" t="s">
        <v>128</v>
      </c>
      <c r="C31" s="84"/>
      <c r="D31" s="79"/>
      <c r="E31" s="55">
        <f>E29-E30</f>
        <v>179863.5</v>
      </c>
      <c r="H31" s="20" t="s">
        <v>131</v>
      </c>
      <c r="I31" s="58">
        <v>125</v>
      </c>
      <c r="J31" s="20">
        <v>10</v>
      </c>
      <c r="K31" s="54">
        <f t="shared" si="1"/>
        <v>1250</v>
      </c>
    </row>
    <row r="32" spans="2:11" ht="20.25" x14ac:dyDescent="0.55000000000000004">
      <c r="K32" s="56">
        <f>SUM(K29:K31)</f>
        <v>23050</v>
      </c>
    </row>
  </sheetData>
  <mergeCells count="3">
    <mergeCell ref="B29:D29"/>
    <mergeCell ref="B30:D30"/>
    <mergeCell ref="B31:D31"/>
  </mergeCells>
  <printOptions horizontalCentered="1" verticalCentered="1"/>
  <pageMargins left="0.7" right="0.7" top="0.75" bottom="0.75" header="0.3" footer="0.3"/>
  <pageSetup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1B0DD-5500-4F59-AC51-234A63B0F5F3}">
  <sheetPr>
    <pageSetUpPr fitToPage="1"/>
  </sheetPr>
  <dimension ref="B1:K30"/>
  <sheetViews>
    <sheetView showGridLines="0" rightToLeft="1" tabSelected="1" topLeftCell="A20" workbookViewId="0">
      <selection activeCell="B2" sqref="B1:G31"/>
    </sheetView>
  </sheetViews>
  <sheetFormatPr defaultRowHeight="14.25" x14ac:dyDescent="0.2"/>
  <cols>
    <col min="2" max="2" width="20" bestFit="1" customWidth="1"/>
    <col min="3" max="5" width="15.75" customWidth="1"/>
    <col min="6" max="6" width="16.125" customWidth="1"/>
    <col min="7" max="7" width="16" bestFit="1" customWidth="1"/>
    <col min="9" max="9" width="33.75" bestFit="1" customWidth="1"/>
    <col min="10" max="10" width="20.375" bestFit="1" customWidth="1"/>
    <col min="11" max="11" width="14.125" bestFit="1" customWidth="1"/>
  </cols>
  <sheetData>
    <row r="1" spans="2:11" x14ac:dyDescent="0.2">
      <c r="C1" s="85" t="s">
        <v>144</v>
      </c>
      <c r="D1" s="85"/>
      <c r="E1" s="85"/>
      <c r="F1" s="85"/>
    </row>
    <row r="2" spans="2:11" x14ac:dyDescent="0.2">
      <c r="C2" s="86"/>
      <c r="D2" s="86"/>
      <c r="E2" s="86"/>
      <c r="F2" s="86"/>
    </row>
    <row r="3" spans="2:11" ht="18" x14ac:dyDescent="0.2">
      <c r="B3" s="53" t="str">
        <f>[3]STORE!D5</f>
        <v xml:space="preserve">اسم الصنف </v>
      </c>
      <c r="C3" s="53" t="s">
        <v>142</v>
      </c>
      <c r="D3" s="53" t="s">
        <v>141</v>
      </c>
      <c r="E3" s="53" t="s">
        <v>143</v>
      </c>
      <c r="F3" s="53" t="s">
        <v>122</v>
      </c>
      <c r="G3" s="53" t="s">
        <v>123</v>
      </c>
      <c r="I3" s="53" t="s">
        <v>136</v>
      </c>
      <c r="J3" s="53" t="s">
        <v>134</v>
      </c>
      <c r="K3" s="53" t="s">
        <v>135</v>
      </c>
    </row>
    <row r="4" spans="2:11" ht="24.75" x14ac:dyDescent="0.2">
      <c r="B4" s="42" t="str">
        <f>[3]STORE!D6</f>
        <v>منيا فص 2سم</v>
      </c>
      <c r="C4" s="61">
        <v>268</v>
      </c>
      <c r="D4" s="61">
        <v>400</v>
      </c>
      <c r="E4" s="61">
        <f>C4-D4</f>
        <v>-132</v>
      </c>
      <c r="F4" s="57">
        <v>85</v>
      </c>
      <c r="G4" s="57">
        <f>F4*E4</f>
        <v>-11220</v>
      </c>
      <c r="I4" s="62">
        <f>G30</f>
        <v>27829</v>
      </c>
      <c r="J4" s="62">
        <f>14800+12950</f>
        <v>27750</v>
      </c>
      <c r="K4" s="62">
        <f>J4+I4</f>
        <v>55579</v>
      </c>
    </row>
    <row r="5" spans="2:11" ht="18" x14ac:dyDescent="0.2">
      <c r="B5" s="42" t="str">
        <f>[3]STORE!D7</f>
        <v>منيا فص 4 سم</v>
      </c>
      <c r="C5" s="42">
        <v>173</v>
      </c>
      <c r="D5" s="42">
        <v>206</v>
      </c>
      <c r="E5" s="61">
        <f t="shared" ref="E5:E29" si="0">C5-D5</f>
        <v>-33</v>
      </c>
      <c r="F5" s="57">
        <v>155</v>
      </c>
      <c r="G5" s="57">
        <f t="shared" ref="G5:G29" si="1">F5*E5</f>
        <v>-5115</v>
      </c>
    </row>
    <row r="6" spans="2:11" ht="20.25" x14ac:dyDescent="0.3">
      <c r="B6" s="42" t="str">
        <f>[3]STORE!D8</f>
        <v xml:space="preserve">سلفيا 2سم </v>
      </c>
      <c r="C6" s="61">
        <v>131</v>
      </c>
      <c r="D6" s="61">
        <v>70</v>
      </c>
      <c r="E6" s="61">
        <f t="shared" si="0"/>
        <v>61</v>
      </c>
      <c r="F6" s="57">
        <v>125</v>
      </c>
      <c r="G6" s="57">
        <f t="shared" si="1"/>
        <v>7625</v>
      </c>
      <c r="I6" s="64" t="s">
        <v>140</v>
      </c>
      <c r="J6" s="65" t="s">
        <v>139</v>
      </c>
    </row>
    <row r="7" spans="2:11" ht="20.25" x14ac:dyDescent="0.3">
      <c r="B7" s="42" t="str">
        <f>[3]STORE!D9</f>
        <v>سلفيا 4 سم</v>
      </c>
      <c r="C7" s="42">
        <v>74</v>
      </c>
      <c r="D7" s="42">
        <v>35</v>
      </c>
      <c r="E7" s="61">
        <f t="shared" si="0"/>
        <v>39</v>
      </c>
      <c r="F7" s="57">
        <v>185</v>
      </c>
      <c r="G7" s="57">
        <f t="shared" si="1"/>
        <v>7215</v>
      </c>
      <c r="I7" s="64" t="s">
        <v>137</v>
      </c>
      <c r="J7" s="64">
        <f>7*1850</f>
        <v>12950</v>
      </c>
    </row>
    <row r="8" spans="2:11" ht="20.25" x14ac:dyDescent="0.3">
      <c r="B8" s="42" t="str">
        <f>[3]STORE!D10</f>
        <v>نيو حلايب 2سم</v>
      </c>
      <c r="C8" s="61">
        <v>91</v>
      </c>
      <c r="D8" s="61">
        <v>33</v>
      </c>
      <c r="E8" s="61">
        <f t="shared" si="0"/>
        <v>58</v>
      </c>
      <c r="F8" s="57">
        <v>225</v>
      </c>
      <c r="G8" s="57">
        <f t="shared" si="1"/>
        <v>13050</v>
      </c>
      <c r="I8" s="64" t="s">
        <v>138</v>
      </c>
      <c r="J8" s="64">
        <f>8*1850</f>
        <v>14800</v>
      </c>
    </row>
    <row r="9" spans="2:11" ht="30" x14ac:dyDescent="0.8">
      <c r="B9" s="42" t="str">
        <f>[3]STORE!D11</f>
        <v>نيو حلايب 4سم</v>
      </c>
      <c r="C9" s="42">
        <v>15</v>
      </c>
      <c r="D9" s="42"/>
      <c r="E9" s="61">
        <f t="shared" si="0"/>
        <v>15</v>
      </c>
      <c r="F9" s="57">
        <v>360</v>
      </c>
      <c r="G9" s="57">
        <f t="shared" si="1"/>
        <v>5400</v>
      </c>
      <c r="J9" s="63">
        <f>SUM(J7:J8)</f>
        <v>27750</v>
      </c>
    </row>
    <row r="10" spans="2:11" ht="18" x14ac:dyDescent="0.2">
      <c r="B10" s="42" t="str">
        <f>[3]STORE!D12</f>
        <v xml:space="preserve">احمر اسواني 2سم </v>
      </c>
      <c r="C10" s="61">
        <v>18</v>
      </c>
      <c r="D10" s="61">
        <v>20</v>
      </c>
      <c r="E10" s="61">
        <f t="shared" si="0"/>
        <v>-2</v>
      </c>
      <c r="F10" s="57">
        <v>348</v>
      </c>
      <c r="G10" s="57">
        <f t="shared" si="1"/>
        <v>-696</v>
      </c>
    </row>
    <row r="11" spans="2:11" ht="18" x14ac:dyDescent="0.2">
      <c r="B11" s="42" t="str">
        <f>[3]STORE!D13</f>
        <v xml:space="preserve">احمر اسواني 4سم </v>
      </c>
      <c r="C11" s="42">
        <f>[3]STORE!J13</f>
        <v>0</v>
      </c>
      <c r="D11" s="42"/>
      <c r="E11" s="61">
        <f t="shared" si="0"/>
        <v>0</v>
      </c>
      <c r="F11" s="57">
        <v>0</v>
      </c>
      <c r="G11" s="57">
        <f t="shared" si="1"/>
        <v>0</v>
      </c>
    </row>
    <row r="12" spans="2:11" ht="18" x14ac:dyDescent="0.2">
      <c r="B12" s="42" t="str">
        <f>[3]STORE!D14</f>
        <v>فيردي 2سم</v>
      </c>
      <c r="C12" s="61">
        <f>[3]STORE!J14</f>
        <v>42</v>
      </c>
      <c r="D12" s="61">
        <v>38</v>
      </c>
      <c r="E12" s="61">
        <f t="shared" si="0"/>
        <v>4</v>
      </c>
      <c r="F12" s="57">
        <v>350</v>
      </c>
      <c r="G12" s="57">
        <f t="shared" si="1"/>
        <v>1400</v>
      </c>
    </row>
    <row r="13" spans="2:11" ht="18" x14ac:dyDescent="0.2">
      <c r="B13" s="42" t="str">
        <f>[3]STORE!D15</f>
        <v xml:space="preserve">فيردي 4سم </v>
      </c>
      <c r="C13" s="42">
        <f>[3]STORE!J15</f>
        <v>0</v>
      </c>
      <c r="D13" s="42">
        <v>0</v>
      </c>
      <c r="E13" s="61">
        <f t="shared" si="0"/>
        <v>0</v>
      </c>
      <c r="F13" s="57">
        <v>0</v>
      </c>
      <c r="G13" s="57">
        <f t="shared" si="1"/>
        <v>0</v>
      </c>
    </row>
    <row r="14" spans="2:11" ht="18" x14ac:dyDescent="0.2">
      <c r="B14" s="42" t="str">
        <f>[3]STORE!D16</f>
        <v>برتولو جولد 2سم</v>
      </c>
      <c r="C14" s="42">
        <f>[3]STORE!J16</f>
        <v>9</v>
      </c>
      <c r="D14" s="42">
        <v>9</v>
      </c>
      <c r="E14" s="61">
        <f t="shared" si="0"/>
        <v>0</v>
      </c>
      <c r="F14" s="57">
        <v>3200</v>
      </c>
      <c r="G14" s="57">
        <f t="shared" si="1"/>
        <v>0</v>
      </c>
    </row>
    <row r="15" spans="2:11" ht="18" x14ac:dyDescent="0.2">
      <c r="B15" s="42" t="str">
        <f>[3]STORE!D17</f>
        <v>تريستا 2سم</v>
      </c>
      <c r="C15" s="42">
        <f>[3]STORE!J17</f>
        <v>0</v>
      </c>
      <c r="D15" s="42"/>
      <c r="E15" s="61">
        <f t="shared" si="0"/>
        <v>0</v>
      </c>
      <c r="F15" s="57">
        <v>0</v>
      </c>
      <c r="G15" s="57">
        <f t="shared" si="1"/>
        <v>0</v>
      </c>
    </row>
    <row r="16" spans="2:11" ht="18" x14ac:dyDescent="0.2">
      <c r="B16" s="42" t="str">
        <f>[3]STORE!D18</f>
        <v>اسود جلاكسي 2سم</v>
      </c>
      <c r="C16" s="42">
        <f>[3]STORE!J18</f>
        <v>0</v>
      </c>
      <c r="D16" s="42"/>
      <c r="E16" s="61">
        <f t="shared" si="0"/>
        <v>0</v>
      </c>
      <c r="F16" s="57">
        <v>0</v>
      </c>
      <c r="G16" s="57">
        <f t="shared" si="1"/>
        <v>0</v>
      </c>
    </row>
    <row r="17" spans="2:7" ht="18" x14ac:dyDescent="0.2">
      <c r="B17" s="42" t="str">
        <f>[3]STORE!D19</f>
        <v>هودي 2سم</v>
      </c>
      <c r="C17" s="61">
        <v>35</v>
      </c>
      <c r="D17" s="61">
        <v>35</v>
      </c>
      <c r="E17" s="61">
        <f t="shared" si="0"/>
        <v>0</v>
      </c>
      <c r="F17" s="57">
        <v>180</v>
      </c>
      <c r="G17" s="57">
        <f t="shared" si="1"/>
        <v>0</v>
      </c>
    </row>
    <row r="18" spans="2:7" ht="18" x14ac:dyDescent="0.2">
      <c r="B18" s="42" t="str">
        <f>[3]STORE!D20</f>
        <v>هودي 4سم</v>
      </c>
      <c r="C18" s="42">
        <f>[3]STORE!J20</f>
        <v>0</v>
      </c>
      <c r="D18" s="42"/>
      <c r="E18" s="61">
        <f t="shared" si="0"/>
        <v>0</v>
      </c>
      <c r="F18" s="57">
        <v>0</v>
      </c>
      <c r="G18" s="57">
        <f t="shared" si="1"/>
        <v>0</v>
      </c>
    </row>
    <row r="19" spans="2:7" ht="18" x14ac:dyDescent="0.2">
      <c r="B19" s="42" t="str">
        <f>[3]STORE!D21</f>
        <v xml:space="preserve">جاندولة 2سم </v>
      </c>
      <c r="C19" s="42">
        <f>[3]STORE!J21</f>
        <v>0</v>
      </c>
      <c r="D19" s="42"/>
      <c r="E19" s="61">
        <f t="shared" si="0"/>
        <v>0</v>
      </c>
      <c r="F19" s="57">
        <v>0</v>
      </c>
      <c r="G19" s="57">
        <f t="shared" si="1"/>
        <v>0</v>
      </c>
    </row>
    <row r="20" spans="2:7" ht="18" x14ac:dyDescent="0.2">
      <c r="B20" s="42" t="str">
        <f>[3]STORE!D22</f>
        <v xml:space="preserve">جاندولة 4سم </v>
      </c>
      <c r="C20" s="42">
        <f>[3]STORE!J22</f>
        <v>0</v>
      </c>
      <c r="D20" s="42"/>
      <c r="E20" s="61">
        <f t="shared" si="0"/>
        <v>0</v>
      </c>
      <c r="F20" s="57">
        <v>0</v>
      </c>
      <c r="G20" s="57">
        <f t="shared" si="1"/>
        <v>0</v>
      </c>
    </row>
    <row r="21" spans="2:7" ht="18" x14ac:dyDescent="0.2">
      <c r="B21" s="42" t="str">
        <f>[3]STORE!D23</f>
        <v xml:space="preserve">حلايب 2سم </v>
      </c>
      <c r="C21" s="42">
        <f>[3]STORE!J23</f>
        <v>0</v>
      </c>
      <c r="D21" s="42"/>
      <c r="E21" s="61">
        <f t="shared" si="0"/>
        <v>0</v>
      </c>
      <c r="F21" s="57">
        <v>0</v>
      </c>
      <c r="G21" s="57">
        <f t="shared" si="1"/>
        <v>0</v>
      </c>
    </row>
    <row r="22" spans="2:7" ht="18" x14ac:dyDescent="0.2">
      <c r="B22" s="42" t="str">
        <f>[3]STORE!D24</f>
        <v xml:space="preserve">حلايب 4سم </v>
      </c>
      <c r="C22" s="42">
        <f>[3]STORE!J24</f>
        <v>0</v>
      </c>
      <c r="D22" s="42"/>
      <c r="E22" s="61">
        <f t="shared" si="0"/>
        <v>0</v>
      </c>
      <c r="F22" s="57">
        <v>0</v>
      </c>
      <c r="G22" s="57">
        <f t="shared" si="1"/>
        <v>0</v>
      </c>
    </row>
    <row r="23" spans="2:7" ht="18" x14ac:dyDescent="0.2">
      <c r="B23" s="42" t="str">
        <f>[3]STORE!D25</f>
        <v>كرارة 2سم</v>
      </c>
      <c r="C23" s="42">
        <f>[3]STORE!J25</f>
        <v>0</v>
      </c>
      <c r="D23" s="42"/>
      <c r="E23" s="61">
        <f t="shared" si="0"/>
        <v>0</v>
      </c>
      <c r="F23" s="57">
        <v>0</v>
      </c>
      <c r="G23" s="57">
        <f t="shared" si="1"/>
        <v>0</v>
      </c>
    </row>
    <row r="24" spans="2:7" ht="18" x14ac:dyDescent="0.2">
      <c r="B24" s="42" t="str">
        <f>[3]STORE!D26</f>
        <v xml:space="preserve">فرسان 2سم </v>
      </c>
      <c r="C24" s="61">
        <f>[3]STORE!J26</f>
        <v>45</v>
      </c>
      <c r="D24" s="61">
        <v>26</v>
      </c>
      <c r="E24" s="61">
        <f t="shared" si="0"/>
        <v>19</v>
      </c>
      <c r="F24" s="57">
        <v>230</v>
      </c>
      <c r="G24" s="57">
        <f t="shared" si="1"/>
        <v>4370</v>
      </c>
    </row>
    <row r="25" spans="2:7" ht="18" x14ac:dyDescent="0.2">
      <c r="B25" s="42" t="str">
        <f>[3]STORE!D27</f>
        <v>سفاجا 2سم</v>
      </c>
      <c r="C25" s="61">
        <f>[3]STORE!J27</f>
        <v>26</v>
      </c>
      <c r="D25" s="61">
        <v>16</v>
      </c>
      <c r="E25" s="61">
        <f t="shared" si="0"/>
        <v>10</v>
      </c>
      <c r="F25" s="57">
        <v>240</v>
      </c>
      <c r="G25" s="57">
        <f t="shared" si="1"/>
        <v>2400</v>
      </c>
    </row>
    <row r="26" spans="2:7" ht="18" x14ac:dyDescent="0.2">
      <c r="B26" s="42" t="str">
        <f>[3]STORE!D28</f>
        <v>رويل 2سم</v>
      </c>
      <c r="C26" s="61">
        <f>[3]STORE!J28</f>
        <v>19</v>
      </c>
      <c r="D26" s="61">
        <v>6</v>
      </c>
      <c r="E26" s="61">
        <f t="shared" si="0"/>
        <v>13</v>
      </c>
      <c r="F26" s="57">
        <v>290</v>
      </c>
      <c r="G26" s="57">
        <f t="shared" si="1"/>
        <v>3770</v>
      </c>
    </row>
    <row r="27" spans="2:7" ht="18" x14ac:dyDescent="0.2">
      <c r="B27" s="42" t="str">
        <f>[3]STORE!D29</f>
        <v>روزة نصر 2سم</v>
      </c>
      <c r="C27" s="61">
        <v>15</v>
      </c>
      <c r="D27" s="61">
        <v>17</v>
      </c>
      <c r="E27" s="61">
        <f t="shared" si="0"/>
        <v>-2</v>
      </c>
      <c r="F27" s="57">
        <v>185</v>
      </c>
      <c r="G27" s="57">
        <f t="shared" si="1"/>
        <v>-370</v>
      </c>
    </row>
    <row r="28" spans="2:7" ht="18" x14ac:dyDescent="0.2">
      <c r="B28" s="42" t="str">
        <f>[3]STORE!D30</f>
        <v>رمادي شركة 2سم</v>
      </c>
      <c r="C28" s="61">
        <v>8</v>
      </c>
      <c r="D28" s="61">
        <v>8</v>
      </c>
      <c r="E28" s="61">
        <f t="shared" si="0"/>
        <v>0</v>
      </c>
      <c r="F28" s="57">
        <v>320</v>
      </c>
      <c r="G28" s="57">
        <f t="shared" si="1"/>
        <v>0</v>
      </c>
    </row>
    <row r="29" spans="2:7" ht="18" x14ac:dyDescent="0.2">
      <c r="B29" s="42" t="s">
        <v>133</v>
      </c>
      <c r="C29" s="42">
        <v>62</v>
      </c>
      <c r="D29" s="42">
        <v>62</v>
      </c>
      <c r="E29" s="61">
        <f t="shared" si="0"/>
        <v>0</v>
      </c>
      <c r="F29" s="57">
        <v>120</v>
      </c>
      <c r="G29" s="57">
        <f t="shared" si="1"/>
        <v>0</v>
      </c>
    </row>
    <row r="30" spans="2:7" ht="18" x14ac:dyDescent="0.2">
      <c r="B30" s="83" t="s">
        <v>124</v>
      </c>
      <c r="C30" s="83"/>
      <c r="D30" s="83"/>
      <c r="E30" s="83"/>
      <c r="F30" s="83"/>
      <c r="G30" s="55">
        <f>SUM(G4:G29)</f>
        <v>27829</v>
      </c>
    </row>
  </sheetData>
  <mergeCells count="2">
    <mergeCell ref="B30:F30"/>
    <mergeCell ref="C1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44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El-Manara Dell</dc:creator>
  <cp:lastModifiedBy>-Vip-23</cp:lastModifiedBy>
  <cp:lastPrinted>2024-01-09T21:42:54Z</cp:lastPrinted>
  <dcterms:created xsi:type="dcterms:W3CDTF">2023-10-22T12:21:52Z</dcterms:created>
  <dcterms:modified xsi:type="dcterms:W3CDTF">2024-01-09T21:57:52Z</dcterms:modified>
</cp:coreProperties>
</file>